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7d1b8cabb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014d437925a04efe"/>
    <x:sheet xmlns:r="http://schemas.openxmlformats.org/officeDocument/2006/relationships" name="Pressupostos" sheetId="2" r:id="R9bf36014208b4d2b"/>
    <x:sheet xmlns:r="http://schemas.openxmlformats.org/officeDocument/2006/relationships" name="Produtos" sheetId="3" r:id="Ra8db2403a786446f"/>
    <x:sheet xmlns:r="http://schemas.openxmlformats.org/officeDocument/2006/relationships" name="Vendas 12M" sheetId="4" r:id="Rddea08329c08479d"/>
    <x:sheet xmlns:r="http://schemas.openxmlformats.org/officeDocument/2006/relationships" name="Resultados 5A" sheetId="5" r:id="R3e6f39c053f04032"/>
    <x:sheet xmlns:r="http://schemas.openxmlformats.org/officeDocument/2006/relationships" name="Tesouraria 12M" sheetId="6" r:id="R1b76182e86324c9f"/>
    <x:sheet xmlns:r="http://schemas.openxmlformats.org/officeDocument/2006/relationships" name="Cenarios" sheetId="7" r:id="Rfea661830ed642b0"/>
    <x:sheet xmlns:r="http://schemas.openxmlformats.org/officeDocument/2006/relationships" name="Viabilidade" sheetId="8" r:id="Rdcc41180f29d4bdd"/>
    <x:sheet xmlns:r="http://schemas.openxmlformats.org/officeDocument/2006/relationships" name="Instrucoes" sheetId="9" r:id="R418342304c9e4d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 &quot;€&quot;;[Red](#,##0.00 &quot;€&quot;)"/>
    <x:numFmt numFmtId="202" formatCode="#,##0"/>
  </x:numFmts>
  <x:fonts count="10">
    <x:font>
      <x:sz val="11"/>
      <x:name val="Carlito"/>
    </x:font>
    <x:font>
      <x:sz val="11"/>
      <x:name val="Aptos"/>
    </x:font>
    <x:font>
      <x:sz val="10"/>
      <x:name val="Aptos"/>
    </x:font>
    <x:font>
      <x:b/>
      <x:sz val="10"/>
      <x:name val="Aptos"/>
    </x:font>
    <x:font>
      <x:b/>
      <x:sz val="17"/>
      <x:name val="Aptos"/>
    </x:font>
    <x:font>
      <x:b/>
      <x:sz val="17"/>
      <x:color rgb="FF142B40"/>
      <x:name val="Aptos"/>
    </x:font>
    <x:font>
      <x:sz val="10"/>
      <x:color rgb="FFB48A55"/>
      <x:name val="Aptos"/>
    </x:font>
    <x:font>
      <x:b/>
      <x:sz val="11"/>
      <x:color rgb="FFFFFFFF"/>
      <x:name val="Carlito"/>
    </x:font>
    <x:font>
      <x:b/>
      <x:sz val="11"/>
      <x:color rgb="FFFFFFFF"/>
      <x:name val="Aptos"/>
    </x:font>
    <x:font>
      <x:b/>
      <x:sz val="10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E8F3FF"/>
      </x:patternFill>
    </x:fill>
    <x:fill>
      <x:patternFill patternType="solid">
        <x:fgColor rgb="FF142B40"/>
      </x:patternFill>
    </x:fill>
    <x:fill>
      <x:patternFill patternType="solid">
        <x:fgColor rgb="FFE8EFF5"/>
      </x:patternFill>
    </x:fill>
    <x:fill>
      <x:patternFill patternType="solid">
        <x:fgColor rgb="FFDDEADB"/>
      </x:patternFill>
    </x:fill>
    <x:fill>
      <x:patternFill patternType="solid">
        <x:fgColor rgb="FFFFF0D9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2" fillId="2" borderId="0" xfId="0" applyNumberFormat="1" applyFont="1" applyFill="1" applyBorder="1"/>
    <x:xf numFmtId="200" fontId="2" fillId="2" borderId="1" xfId="0" applyNumberFormat="1" applyFont="1" applyFill="1" applyBorder="1"/>
    <x:xf numFmtId="201" fontId="2" fillId="2" borderId="0" xfId="0" applyNumberFormat="1" applyFont="1" applyFill="1" applyBorder="1"/>
    <x:xf numFmtId="201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0" fontId="0" fillId="3" borderId="1" xfId="0" applyNumberFormat="1" applyFont="1" applyFill="1" applyBorder="1"/>
    <x:xf numFmtId="0" fontId="7" fillId="3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0" fontId="2" fillId="0" borderId="0" xfId="0" applyNumberFormat="1" applyFont="1" applyFill="1" applyBorder="1"/>
    <x:xf numFmtId="200" fontId="2" fillId="0" borderId="1" xfId="0" applyNumberFormat="1" applyFont="1" applyFill="1" applyBorder="1"/>
    <x:xf numFmtId="201" fontId="2" fillId="0" borderId="0" xfId="0" applyNumberFormat="1" applyFont="1" applyFill="1" applyBorder="1"/>
    <x:xf numFmtId="201" fontId="2" fillId="0" borderId="1" xfId="0" applyNumberFormat="1" applyFont="1" applyFill="1" applyBorder="1"/>
    <x:xf numFmtId="202" fontId="2" fillId="2" borderId="0" xfId="0" applyNumberFormat="1" applyFont="1" applyFill="1" applyBorder="1"/>
    <x:xf numFmtId="202" fontId="2" fillId="0" borderId="0" xfId="0" applyNumberFormat="1" applyFont="1" applyFill="1" applyBorder="1"/>
    <x:xf numFmtId="202" fontId="2" fillId="2" borderId="1" xfId="0" applyNumberFormat="1" applyFont="1" applyFill="1" applyBorder="1"/>
    <x:xf numFmtId="202" fontId="2" fillId="0" borderId="1" xfId="0" applyNumberFormat="1" applyFont="1" applyFill="1" applyBorder="1"/>
    <x:xf numFmtId="202" fontId="2" fillId="4" borderId="0" xfId="0" applyNumberFormat="1" applyFont="1" applyFill="1" applyBorder="1"/>
    <x:xf numFmtId="201" fontId="2" fillId="4" borderId="0" xfId="0" applyNumberFormat="1" applyFont="1" applyFill="1" applyBorder="1"/>
    <x:xf numFmtId="202" fontId="2" fillId="4" borderId="1" xfId="0" applyNumberFormat="1" applyFont="1" applyFill="1" applyBorder="1"/>
    <x:xf numFmtId="201" fontId="2" fillId="4" borderId="1" xfId="0" applyNumberFormat="1" applyFont="1" applyFill="1" applyBorder="1"/>
    <x:xf numFmtId="201" fontId="3" fillId="0" borderId="0" xfId="0" applyNumberFormat="1" applyFont="1" applyFill="1" applyBorder="1"/>
    <x:xf numFmtId="201" fontId="3" fillId="4" borderId="0" xfId="0" applyNumberFormat="1" applyFont="1" applyFill="1" applyBorder="1"/>
    <x:xf numFmtId="201" fontId="3" fillId="0" borderId="1" xfId="0" applyNumberFormat="1" applyFont="1" applyFill="1" applyBorder="1"/>
    <x:xf numFmtId="201" fontId="3" fillId="4" borderId="1" xfId="0" applyNumberFormat="1" applyFont="1" applyFill="1" applyBorder="1"/>
    <x:xf numFmtId="0" fontId="2" fillId="5" borderId="0" xfId="0" applyNumberFormat="1" applyFont="1" applyFill="1" applyBorder="1"/>
    <x:xf numFmtId="201" fontId="2" fillId="5" borderId="0" xfId="0" applyNumberFormat="1" applyFont="1" applyFill="1" applyBorder="1"/>
    <x:xf numFmtId="0" fontId="2" fillId="5" borderId="1" xfId="0" applyNumberFormat="1" applyFont="1" applyFill="1" applyBorder="1"/>
    <x:xf numFmtId="201" fontId="2" fillId="5" borderId="1" xfId="0" applyNumberFormat="1" applyFont="1" applyFill="1" applyBorder="1"/>
    <x:xf numFmtId="200" fontId="2" fillId="6" borderId="0" xfId="0" applyNumberFormat="1" applyFont="1" applyFill="1" applyBorder="1"/>
    <x:xf numFmtId="200" fontId="2" fillId="6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0" fontId="2" fillId="4" borderId="1" xfId="0" applyNumberFormat="1" applyFont="1" applyFill="1" applyBorder="1"/>
    <x:xf numFmtId="200" fontId="2" fillId="4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b62ebbe43439f" /><Relationship Type="http://schemas.openxmlformats.org/officeDocument/2006/relationships/theme" Target="/xl/theme/theme1.xml" Id="R7be19ec2cddd4746" /><Relationship Type="http://schemas.openxmlformats.org/officeDocument/2006/relationships/sharedStrings" Target="/xl/sharedStrings.xml" Id="R2bd13f342e384bff" /><Relationship Type="http://schemas.openxmlformats.org/officeDocument/2006/relationships/worksheet" Target="/xl/worksheets/sheet1.xml" Id="R014d437925a04efe" /><Relationship Type="http://schemas.openxmlformats.org/officeDocument/2006/relationships/worksheet" Target="/xl/worksheets/sheet2.xml" Id="R9bf36014208b4d2b" /><Relationship Type="http://schemas.openxmlformats.org/officeDocument/2006/relationships/worksheet" Target="/xl/worksheets/sheet3.xml" Id="Ra8db2403a786446f" /><Relationship Type="http://schemas.openxmlformats.org/officeDocument/2006/relationships/worksheet" Target="/xl/worksheets/sheet4.xml" Id="Rddea08329c08479d" /><Relationship Type="http://schemas.openxmlformats.org/officeDocument/2006/relationships/worksheet" Target="/xl/worksheets/sheet5.xml" Id="R3e6f39c053f04032" /><Relationship Type="http://schemas.openxmlformats.org/officeDocument/2006/relationships/worksheet" Target="/xl/worksheets/sheet6.xml" Id="R1b76182e86324c9f" /><Relationship Type="http://schemas.openxmlformats.org/officeDocument/2006/relationships/worksheet" Target="/xl/worksheets/sheet7.xml" Id="Rfea661830ed642b0" /><Relationship Type="http://schemas.openxmlformats.org/officeDocument/2006/relationships/worksheet" Target="/xl/worksheets/sheet8.xml" Id="Rdcc41180f29d4bdd" /><Relationship Type="http://schemas.openxmlformats.org/officeDocument/2006/relationships/worksheet" Target="/xl/worksheets/sheet9.xml" Id="R418342304c9e4d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PAINEL DE DECISÃO</x:v>
      </x:c>
      <x:c r="B1" s="4"/>
      <x:c r="C1" s="4"/>
      <x:c r="D1" s="4"/>
      <x:c r="E1" s="4"/>
      <x:c r="F1" s="4"/>
    </x:row>
    <x:row r="2" ht="21" customHeight="1">
      <x:c r="A2" s="12" t="str">
        <x:v>Caso prático fictício — modelo editável — Luís Valente 360°</x:v>
      </x:c>
      <x:c r="B2" s="4"/>
      <x:c r="C2" s="4"/>
      <x:c r="D2" s="4"/>
      <x:c r="E2" s="4"/>
      <x:c r="F2" s="4"/>
    </x:row>
    <x:row r="3" ht="21" customHeight="1">
      <x:c r="A3" s="4"/>
      <x:c r="B3" s="4"/>
      <x:c r="C3" s="4"/>
      <x:c r="D3" s="4"/>
      <x:c r="E3" s="4"/>
      <x:c r="F3" s="4"/>
    </x:row>
    <x:row r="4" ht="21" customHeight="1">
      <x:c r="A4" s="4"/>
      <x:c r="B4" s="4"/>
      <x:c r="C4" s="4"/>
      <x:c r="D4" s="4"/>
      <x:c r="E4" s="4"/>
      <x:c r="F4" s="4"/>
    </x:row>
    <x:row r="5" ht="21" customHeight="1">
      <x:c r="A5" s="4" t="str">
        <x:v>Unidades vendidas · ano 1</x:v>
      </x:c>
      <x:c r="B5" s="52" t="n">
        <x:f>'Resultados 5A'!B5</x:f>
        <x:v>23900</x:v>
      </x:c>
      <x:c r="C5" s="4"/>
      <x:c r="D5" s="4"/>
      <x:c r="E5" s="4"/>
      <x:c r="F5" s="4"/>
    </x:row>
    <x:row r="6" ht="21" customHeight="1">
      <x:c r="A6" s="4" t="str">
        <x:v>Faturação sem IVA · ano 1</x:v>
      </x:c>
      <x:c r="B6" s="37" t="n">
        <x:f>'Resultados 5A'!B7</x:f>
        <x:v>362607.2052845528</x:v>
      </x:c>
      <x:c r="C6" s="4"/>
      <x:c r="D6" s="4"/>
      <x:c r="E6" s="4"/>
      <x:c r="F6" s="4"/>
    </x:row>
    <x:row r="7" ht="21" customHeight="1">
      <x:c r="A7" s="4" t="str">
        <x:v>Margem de contribuição · ano 1</x:v>
      </x:c>
      <x:c r="B7" s="37" t="n">
        <x:f>'Resultados 5A'!B14</x:f>
        <x:v>180067.7977642276</x:v>
      </x:c>
      <x:c r="C7" s="4"/>
      <x:c r="D7" s="4"/>
      <x:c r="E7" s="4"/>
      <x:c r="F7" s="4"/>
    </x:row>
    <x:row r="8" ht="21" customHeight="1">
      <x:c r="A8" s="4" t="str">
        <x:v>EBITDA · ano 1</x:v>
      </x:c>
      <x:c r="B8" s="37" t="n">
        <x:f>'Resultados 5A'!B16</x:f>
        <x:v>54067.79776422761</x:v>
      </x:c>
      <x:c r="C8" s="4"/>
      <x:c r="D8" s="4"/>
      <x:c r="E8" s="4"/>
      <x:c r="F8" s="4"/>
    </x:row>
    <x:row r="9" ht="21" customHeight="1">
      <x:c r="A9" s="4" t="str">
        <x:v>Margem EBITDA · ano 1</x:v>
      </x:c>
      <x:c r="B9" s="53" t="n">
        <x:f>'Resultados 5A'!B24</x:f>
        <x:v>0.14910844841540966</x:v>
      </x:c>
      <x:c r="C9" s="4"/>
      <x:c r="D9" s="4"/>
      <x:c r="E9" s="4"/>
      <x:c r="F9" s="4"/>
    </x:row>
    <x:row r="10" ht="21" customHeight="1">
      <x:c r="A10" s="4" t="str">
        <x:v>Investimento inicial em ativos + stock</x:v>
      </x:c>
      <x:c r="B10" s="37" t="n">
        <x:f>Viabilidade!B10</x:f>
        <x:v>80000</x:v>
      </x:c>
      <x:c r="C10" s="4"/>
      <x:c r="D10" s="4"/>
      <x:c r="E10" s="4"/>
      <x:c r="F10" s="4"/>
    </x:row>
    <x:row r="11" ht="21" customHeight="1">
      <x:c r="A11" s="4" t="str">
        <x:v>Financiamento inicial total</x:v>
      </x:c>
      <x:c r="B11" s="37" t="n">
        <x:f>Viabilidade!B11</x:f>
        <x:v>180000</x:v>
      </x:c>
      <x:c r="C11" s="4"/>
      <x:c r="D11" s="4"/>
      <x:c r="E11" s="4"/>
      <x:c r="F11" s="4"/>
    </x:row>
    <x:row r="12" ht="21" customHeight="1">
      <x:c r="A12" s="4" t="str">
        <x:v>Saldo de tesouraria em dezembro</x:v>
      </x:c>
      <x:c r="B12" s="37" t="n">
        <x:f>'Tesouraria 12M'!M16</x:f>
        <x:v>117052.91707317074</x:v>
      </x:c>
      <x:c r="C12" s="4"/>
      <x:c r="D12" s="4"/>
      <x:c r="E12" s="4"/>
      <x:c r="F12" s="4"/>
    </x:row>
    <x:row r="13" ht="21" customHeight="1">
      <x:c r="A13" s="4" t="str">
        <x:v>VAL do projeto · 5 anos</x:v>
      </x:c>
      <x:c r="B13" s="37" t="n">
        <x:f>Viabilidade!B8</x:f>
        <x:v>270958.2830892433</x:v>
      </x:c>
      <x:c r="C13" s="4"/>
      <x:c r="D13" s="4"/>
      <x:c r="E13" s="4"/>
      <x:c r="F13" s="4"/>
    </x:row>
    <x:row r="14" ht="21" customHeight="1">
      <x:c r="A14" s="4" t="str">
        <x:v>TIR do projeto · 5 anos</x:v>
      </x:c>
      <x:c r="B14" s="53" t="n">
        <x:f>Viabilidade!B9</x:f>
        <x:v>0.831785385849976</x:v>
      </x:c>
      <x:c r="C14" s="4"/>
      <x:c r="D14" s="4"/>
      <x:c r="E14" s="4"/>
      <x:c r="F14" s="4"/>
    </x:row>
    <x:row r="15" ht="21" customHeight="1">
      <x:c r="A15" s="4" t="str">
        <x:v>Unidades de equilíbrio · ano 1</x:v>
      </x:c>
      <x:c r="B15" s="52" t="n">
        <x:f>Viabilidade!B13</x:f>
        <x:v>16723.70094703433</x:v>
      </x:c>
      <x:c r="C15" s="4"/>
      <x:c r="D15" s="4"/>
      <x:c r="E15" s="4"/>
      <x:c r="F15" s="4"/>
    </x:row>
    <x:row r="16" ht="21" customHeight="1">
      <x:c r="A16" s="4"/>
      <x:c r="B16" s="4"/>
      <x:c r="C16" s="4"/>
      <x:c r="D16" s="4"/>
      <x:c r="E16" s="4"/>
      <x:c r="F16" s="4"/>
    </x:row>
    <x:row r="17" ht="21" customHeight="1">
      <x:c r="A17" s="4"/>
      <x:c r="B17" s="4"/>
      <x:c r="C17" s="4"/>
      <x:c r="D17" s="4"/>
      <x:c r="E17" s="4"/>
      <x:c r="F17" s="4"/>
    </x:row>
    <x:row r="18" ht="21" customHeight="1">
      <x:c r="A18" s="26" t="str">
        <x:v>LEITURA DO MODELO</x:v>
      </x:c>
      <x:c r="B18" s="26"/>
      <x:c r="C18" s="4"/>
      <x:c r="D18" s="4"/>
      <x:c r="E18" s="4"/>
      <x:c r="F18" s="4"/>
    </x:row>
    <x:row r="19" ht="30" customHeight="1">
      <x:c r="A19" s="4" t="str">
        <x:v>Alterar apenas as hipóteses assinaladas a azul: Pressupostos, Produtos, Vendas 12M.</x:v>
      </x:c>
      <x:c r="B19" s="4"/>
      <x:c r="C19" s="4"/>
      <x:c r="D19" s="4"/>
      <x:c r="E19" s="4"/>
      <x:c r="F19" s="4"/>
    </x:row>
    <x:row r="20" ht="30" customHeight="1">
      <x:c r="A20" s="4" t="str">
        <x:v>Os resultados, cenários e fluxos são derivados por fórmulas.</x:v>
      </x:c>
      <x:c r="B20" s="4"/>
      <x:c r="C20" s="4"/>
      <x:c r="D20" s="4"/>
      <x:c r="E20" s="4"/>
      <x:c r="F20" s="4"/>
    </x:row>
    <x:row r="21" ht="30" customHeight="1">
      <x:c r="A21" s="4" t="str">
        <x:v>Pressupostos fiscais, comerciais e regulamentares não substituem parecer especializado.</x:v>
      </x:c>
      <x:c r="B21" s="4"/>
      <x:c r="C21" s="4"/>
      <x:c r="D21" s="4"/>
      <x:c r="E21" s="4"/>
      <x:c r="F21" s="4"/>
    </x:row>
    <x:row r="22" ht="30" customHeight="1">
      <x:c r="A22" s="4" t="str">
        <x:v>A simulação não representa dados reais, estudo de mercado ou previsão comercial validada.</x:v>
      </x:c>
      <x:c r="B22" s="4"/>
      <x:c r="C22" s="4"/>
      <x:c r="D22" s="4"/>
      <x:c r="E22" s="4"/>
      <x:c r="F22" s="4"/>
    </x:row>
    <x:row r="23" ht="21" customHeight="1">
      <x:c r="A23" s="4"/>
      <x:c r="B23" s="4"/>
      <x:c r="C23" s="4"/>
      <x:c r="D23" s="4"/>
      <x:c r="E23" s="4"/>
      <x:c r="F23" s="4"/>
    </x:row>
    <x:row r="24" ht="21" customHeight="1">
      <x:c r="A24" s="4"/>
      <x:c r="B24" s="4"/>
      <x:c r="C24" s="4"/>
      <x:c r="D24" s="4"/>
      <x:c r="E24" s="4"/>
      <x:c r="F24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PRESSUPOSTOS EDITÁVEIS</x:v>
      </x:c>
      <x:c r="B1" s="4"/>
      <x:c r="C1" s="4"/>
      <x:c r="D1" s="4"/>
    </x:row>
    <x:row r="2" ht="21" customHeight="1">
      <x:c r="A2" s="12" t="str">
        <x:v>Células azuis = hipóteses; amarelo = cenário; todas as receitas sem IVA.</x:v>
      </x:c>
      <x:c r="B2" s="4"/>
      <x:c r="C2" s="4"/>
      <x:c r="D2" s="4"/>
    </x:row>
    <x:row r="3" ht="21" customHeight="1">
      <x:c r="A3" s="4"/>
      <x:c r="B3" s="4"/>
      <x:c r="C3" s="4"/>
      <x:c r="D3" s="4"/>
    </x:row>
    <x:row r="4" ht="21" customHeight="1">
      <x:c r="A4" s="4"/>
      <x:c r="B4" s="4"/>
      <x:c r="C4" s="4"/>
      <x:c r="D4" s="4"/>
    </x:row>
    <x:row r="5" ht="21" customHeight="1">
      <x:c r="A5" s="4" t="str">
        <x:v>IVA de referência (hipótese de cálculo)</x:v>
      </x:c>
      <x:c r="B5" s="16" t="n">
        <x:v>0.23</x:v>
      </x:c>
      <x:c r="C5" s="4"/>
      <x:c r="D5" s="4"/>
    </x:row>
    <x:row r="6" ht="21" customHeight="1">
      <x:c r="A6" s="4" t="str">
        <x:v>Peso do canal direto (DTC)</x:v>
      </x:c>
      <x:c r="B6" s="16" t="n">
        <x:v>0.65</x:v>
      </x:c>
      <x:c r="C6" s="4"/>
      <x:c r="D6" s="4"/>
    </x:row>
    <x:row r="7" ht="21" customHeight="1">
      <x:c r="A7" s="4" t="str">
        <x:v>Receita grossista / PVP sem IVA</x:v>
      </x:c>
      <x:c r="B7" s="16" t="n">
        <x:v>0.55</x:v>
      </x:c>
      <x:c r="C7" s="4"/>
      <x:c r="D7" s="4"/>
    </x:row>
    <x:row r="8" ht="21" customHeight="1">
      <x:c r="A8" s="4" t="str">
        <x:v>Logística variável por unidade</x:v>
      </x:c>
      <x:c r="B8" s="18" t="n">
        <x:v>1.2</x:v>
      </x:c>
      <x:c r="C8" s="4"/>
      <x:c r="D8" s="4"/>
    </x:row>
    <x:row r="9" ht="21" customHeight="1">
      <x:c r="A9" s="4" t="str">
        <x:v>Comissão do canal direto / vendas DTC</x:v>
      </x:c>
      <x:c r="B9" s="16" t="n">
        <x:v>0.025</x:v>
      </x:c>
      <x:c r="C9" s="4"/>
      <x:c r="D9" s="4"/>
    </x:row>
    <x:row r="10" ht="21" customHeight="1">
      <x:c r="A10" s="4" t="str">
        <x:v>Custos fixos mensais (ano 1)</x:v>
      </x:c>
      <x:c r="B10" s="18" t="n">
        <x:v>10500</x:v>
      </x:c>
      <x:c r="C10" s="4"/>
      <x:c r="D10" s="4"/>
    </x:row>
    <x:row r="11" ht="21" customHeight="1">
      <x:c r="A11" s="4" t="str">
        <x:v>Crescimento anual custos fixos</x:v>
      </x:c>
      <x:c r="B11" s="16" t="n">
        <x:v>0.08</x:v>
      </x:c>
      <x:c r="C11" s="4"/>
      <x:c r="D11" s="4"/>
    </x:row>
    <x:row r="12" ht="21" customHeight="1">
      <x:c r="A12" s="4" t="str">
        <x:v>Stock inicial financiado</x:v>
      </x:c>
      <x:c r="B12" s="18" t="n">
        <x:v>45000</x:v>
      </x:c>
      <x:c r="C12" s="4"/>
      <x:c r="D12" s="4"/>
    </x:row>
    <x:row r="13" ht="21" customHeight="1">
      <x:c r="A13" s="4" t="str">
        <x:v>Investimento inicial em ativos (capex)</x:v>
      </x:c>
      <x:c r="B13" s="18" t="n">
        <x:v>35000</x:v>
      </x:c>
      <x:c r="C13" s="4"/>
      <x:c r="D13" s="4"/>
    </x:row>
    <x:row r="14" ht="21" customHeight="1">
      <x:c r="A14" s="4" t="str">
        <x:v>Capitais próprios iniciais</x:v>
      </x:c>
      <x:c r="B14" s="18" t="n">
        <x:v>120000</x:v>
      </x:c>
      <x:c r="C14" s="4"/>
      <x:c r="D14" s="4"/>
    </x:row>
    <x:row r="15" ht="21" customHeight="1">
      <x:c r="A15" s="4" t="str">
        <x:v>Empréstimo inicial</x:v>
      </x:c>
      <x:c r="B15" s="18" t="n">
        <x:v>60000</x:v>
      </x:c>
      <x:c r="C15" s="4"/>
      <x:c r="D15" s="4"/>
    </x:row>
    <x:row r="16" ht="21" customHeight="1">
      <x:c r="A16" s="4" t="str">
        <x:v>Taxa de juro anual (hipótese)</x:v>
      </x:c>
      <x:c r="B16" s="16" t="n">
        <x:v>0.07</x:v>
      </x:c>
      <x:c r="C16" s="4"/>
      <x:c r="D16" s="4"/>
    </x:row>
    <x:row r="17" ht="21" customHeight="1">
      <x:c r="A17" s="4" t="str">
        <x:v>Amortização de capital anual</x:v>
      </x:c>
      <x:c r="B17" s="18" t="n">
        <x:v>12000</x:v>
      </x:c>
      <x:c r="C17" s="4"/>
      <x:c r="D17" s="4"/>
    </x:row>
    <x:row r="18" ht="21" customHeight="1">
      <x:c r="A18" s="4" t="str">
        <x:v>Depreciação anual ilustrativa</x:v>
      </x:c>
      <x:c r="B18" s="18" t="n">
        <x:v>7000</x:v>
      </x:c>
      <x:c r="C18" s="4"/>
      <x:c r="D18" s="4"/>
    </x:row>
    <x:row r="19" ht="21" customHeight="1">
      <x:c r="A19" s="4" t="str">
        <x:v>Taxa de imposto simplificada (não fiscal)</x:v>
      </x:c>
      <x:c r="B19" s="16" t="n">
        <x:v>0.2</x:v>
      </x:c>
      <x:c r="C19" s="4"/>
      <x:c r="D19" s="4"/>
    </x:row>
    <x:row r="20" ht="21" customHeight="1">
      <x:c r="A20" s="4" t="str">
        <x:v>Taxa de desconto para VAL</x:v>
      </x:c>
      <x:c r="B20" s="16" t="n">
        <x:v>0.12</x:v>
      </x:c>
      <x:c r="C20" s="4"/>
      <x:c r="D20" s="4"/>
    </x:row>
    <x:row r="21" ht="21" customHeight="1">
      <x:c r="A21" s="4" t="str">
        <x:v>Capex anual de manutenção (anos 1-5)</x:v>
      </x:c>
      <x:c r="B21" s="18" t="n">
        <x:v>5000</x:v>
      </x:c>
      <x:c r="C21" s="4"/>
      <x:c r="D21" s="4"/>
    </x:row>
    <x:row r="22" ht="21" customHeight="1">
      <x:c r="A22" s="4" t="str">
        <x:v>Aumento anual do fundo de maneio (anos 2-5)</x:v>
      </x:c>
      <x:c r="B22" s="18" t="n">
        <x:v>8000</x:v>
      </x:c>
      <x:c r="C22" s="4"/>
      <x:c r="D22" s="4"/>
    </x:row>
    <x:row r="23" ht="21" customHeight="1">
      <x:c r="A23" s="4" t="str">
        <x:v>Aumento anual preço médio</x:v>
      </x:c>
      <x:c r="B23" s="16" t="n">
        <x:v>0.02</x:v>
      </x:c>
      <x:c r="C23" s="4"/>
      <x:c r="D23" s="4"/>
    </x:row>
    <x:row r="24" ht="21" customHeight="1">
      <x:c r="A24" s="4" t="str">
        <x:v>Aumento anual custos variáveis</x:v>
      </x:c>
      <x:c r="B24" s="16" t="n">
        <x:v>0.03</x:v>
      </x:c>
      <x:c r="C24" s="4"/>
      <x:c r="D24" s="4"/>
    </x:row>
    <x:row r="25" ht="21" customHeight="1">
      <x:c r="A25" s="4"/>
      <x:c r="B25" s="16"/>
      <x:c r="C25" s="4"/>
      <x:c r="D25" s="4"/>
    </x:row>
    <x:row r="26" ht="21" customHeight="1">
      <x:c r="A26" s="4" t="str">
        <x:v>Crescimento de unidades ano 2</x:v>
      </x:c>
      <x:c r="B26" s="16" t="n">
        <x:v>0.3</x:v>
      </x:c>
      <x:c r="C26" s="4"/>
      <x:c r="D26" s="4"/>
    </x:row>
    <x:row r="27" ht="21" customHeight="1">
      <x:c r="A27" s="4" t="str">
        <x:v>Crescimento de unidades ano 3</x:v>
      </x:c>
      <x:c r="B27" s="16" t="n">
        <x:v>0.23</x:v>
      </x:c>
      <x:c r="C27" s="4"/>
      <x:c r="D27" s="4"/>
    </x:row>
    <x:row r="28" ht="21" customHeight="1">
      <x:c r="A28" s="4" t="str">
        <x:v>Crescimento de unidades ano 4</x:v>
      </x:c>
      <x:c r="B28" s="16" t="n">
        <x:v>0.17</x:v>
      </x:c>
      <x:c r="C28" s="4"/>
      <x:c r="D28" s="4"/>
    </x:row>
    <x:row r="29" ht="21" customHeight="1">
      <x:c r="A29" s="4" t="str">
        <x:v>Crescimento de unidades ano 5</x:v>
      </x:c>
      <x:c r="B29" s="16" t="n">
        <x:v>0.14</x:v>
      </x:c>
      <x:c r="C29" s="4"/>
      <x:c r="D29" s="4"/>
    </x:row>
    <x:row r="30" ht="21" customHeight="1">
      <x:c r="A30" s="4"/>
      <x:c r="B30" s="4"/>
      <x:c r="C30" s="4"/>
      <x:c r="D30" s="4"/>
    </x:row>
    <x:row r="31" ht="21" customHeight="1">
      <x:c r="A31" s="4"/>
      <x:c r="B31" s="4"/>
      <x:c r="C31" s="4"/>
      <x:c r="D31" s="4"/>
    </x:row>
    <x:row r="32" ht="21" customHeight="1">
      <x:c r="A32" s="4"/>
      <x:c r="B32" s="4"/>
      <x:c r="C32" s="4"/>
      <x:c r="D32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PORTFÓLIO E ECONOMIA UNITÁRIA</x:v>
      </x:c>
      <x:c r="B1" s="4"/>
      <x:c r="C1" s="4"/>
      <x:c r="D1" s="4"/>
      <x:c r="E1" s="4"/>
      <x:c r="F1" s="4"/>
      <x:c r="G1" s="4"/>
    </x:row>
    <x:row r="2" ht="21" customHeight="1">
      <x:c r="A2" s="12" t="str">
        <x:v>Preços PVP com IVA, receita e custos sem IVA. Preços e mix editáveis.</x:v>
      </x:c>
      <x:c r="B2" s="4"/>
      <x:c r="C2" s="4"/>
      <x:c r="D2" s="4"/>
      <x:c r="E2" s="4"/>
      <x:c r="F2" s="4"/>
      <x:c r="G2" s="4"/>
    </x:row>
    <x:row r="3" ht="21" customHeight="1">
      <x:c r="A3" s="4"/>
      <x:c r="B3" s="4"/>
      <x:c r="C3" s="4"/>
      <x:c r="D3" s="4"/>
      <x:c r="E3" s="4"/>
      <x:c r="F3" s="4"/>
      <x:c r="G3" s="4"/>
    </x:row>
    <x:row r="4" ht="21" customHeight="1">
      <x:c r="A4" s="26" t="str">
        <x:v>Produto</x:v>
      </x:c>
      <x:c r="B4" s="26" t="str">
        <x:v>PVP c/IVA (€)</x:v>
      </x:c>
      <x:c r="C4" s="26" t="str">
        <x:v>Custo unit. (€)</x:v>
      </x:c>
      <x:c r="D4" s="26" t="str">
        <x:v>Peso mix</x:v>
      </x:c>
      <x:c r="E4" s="26" t="str">
        <x:v>PVP s/IVA</x:v>
      </x:c>
      <x:c r="F4" s="26" t="str">
        <x:v>Receita média/canal</x:v>
      </x:c>
      <x:c r="G4" s="4"/>
    </x:row>
    <x:row r="5" ht="21" customHeight="1">
      <x:c r="A5" s="4" t="str">
        <x:v>NATIVA Pure — Gel de Limpeza</x:v>
      </x:c>
      <x:c r="B5" s="18" t="n">
        <x:v>14.9</x:v>
      </x:c>
      <x:c r="C5" s="18" t="n">
        <x:v>4.1</x:v>
      </x:c>
      <x:c r="D5" s="16" t="n">
        <x:v>0.4</x:v>
      </x:c>
      <x:c r="E5" s="30" t="n">
        <x:f>B5/(1+Pressupostos!$B$5)</x:f>
        <x:v>12.113821138211383</x:v>
      </x:c>
      <x:c r="F5" s="30" t="n">
        <x:f>E5*(Pressupostos!$B$6+(1-Pressupostos!$B$6)*Pressupostos!$B$7)</x:f>
        <x:v>10.20589430894309</x:v>
      </x:c>
      <x:c r="G5" s="4"/>
    </x:row>
    <x:row r="6" ht="21" customHeight="1">
      <x:c r="A6" s="4" t="str">
        <x:v>NATIVA Balance — Creme Hidratante</x:v>
      </x:c>
      <x:c r="B6" s="18" t="n">
        <x:v>24.9</x:v>
      </x:c>
      <x:c r="C6" s="18" t="n">
        <x:v>6.8</x:v>
      </x:c>
      <x:c r="D6" s="16" t="n">
        <x:v>0.35</x:v>
      </x:c>
      <x:c r="E6" s="30" t="n">
        <x:f>B6/(1+Pressupostos!$B$5)</x:f>
        <x:v>20.24390243902439</x:v>
      </x:c>
      <x:c r="F6" s="30" t="n">
        <x:f>E6*(Pressupostos!$B$6+(1-Pressupostos!$B$6)*Pressupostos!$B$7)</x:f>
        <x:v>17.055487804878048</x:v>
      </x:c>
      <x:c r="G6" s="4"/>
    </x:row>
    <x:row r="7" ht="24" customHeight="1">
      <x:c r="A7" s="4" t="str">
        <x:v>NATIVA Protect — Sérum Facial</x:v>
      </x:c>
      <x:c r="B7" s="18" t="n">
        <x:v>29.9</x:v>
      </x:c>
      <x:c r="C7" s="18" t="n">
        <x:v>8.5</x:v>
      </x:c>
      <x:c r="D7" s="16" t="n">
        <x:v>0.25</x:v>
      </x:c>
      <x:c r="E7" s="30" t="n">
        <x:f>B7/(1+Pressupostos!$B$5)</x:f>
        <x:v>24.308943089430894</x:v>
      </x:c>
      <x:c r="F7" s="30" t="n">
        <x:f>E7*(Pressupostos!$B$6+(1-Pressupostos!$B$6)*Pressupostos!$B$7)</x:f>
        <x:v>20.48028455284553</x:v>
      </x:c>
      <x:c r="G7" s="4"/>
    </x:row>
    <x:row r="8" ht="21" customHeight="1">
      <x:c r="A8" s="4"/>
      <x:c r="B8" s="4"/>
      <x:c r="C8" s="4"/>
      <x:c r="D8" s="4"/>
      <x:c r="E8" s="4"/>
      <x:c r="F8" s="4"/>
      <x:c r="G8" s="4"/>
    </x:row>
    <x:row r="9" ht="21" customHeight="1">
      <x:c r="A9" s="26" t="str">
        <x:v>INDICADOR</x:v>
      </x:c>
      <x:c r="B9" s="26" t="str">
        <x:v>RESULTADO</x:v>
      </x:c>
      <x:c r="C9" s="4"/>
      <x:c r="D9" s="4"/>
      <x:c r="E9" s="4"/>
      <x:c r="F9" s="4"/>
      <x:c r="G9" s="4"/>
    </x:row>
    <x:row r="10" ht="21" customHeight="1">
      <x:c r="A10" s="4" t="str">
        <x:v>Mix total</x:v>
      </x:c>
      <x:c r="B10" s="28" t="n">
        <x:f>SUM(D5:D7)</x:f>
        <x:v>1</x:v>
      </x:c>
      <x:c r="C10" s="4"/>
      <x:c r="D10" s="4"/>
      <x:c r="E10" s="4"/>
      <x:c r="F10" s="4"/>
      <x:c r="G10" s="4"/>
    </x:row>
    <x:row r="11" ht="21" customHeight="1">
      <x:c r="A11" s="4" t="str">
        <x:v>PVP médio sem IVA</x:v>
      </x:c>
      <x:c r="B11" s="30" t="n">
        <x:f>SUMPRODUCT(D5:D7,E5:E7)</x:f>
        <x:v>18.008130081300813</x:v>
      </x:c>
      <x:c r="C11" s="4"/>
      <x:c r="D11" s="4"/>
      <x:c r="E11" s="4"/>
      <x:c r="F11" s="4"/>
      <x:c r="G11" s="4"/>
    </x:row>
    <x:row r="12" ht="21" customHeight="1">
      <x:c r="A12" s="4" t="str">
        <x:v>Receita média sem IVA / unidade</x:v>
      </x:c>
      <x:c r="B12" s="30" t="n">
        <x:f>SUMPRODUCT(D5:D7,F5:F7)</x:f>
        <x:v>15.171849593495935</x:v>
      </x:c>
      <x:c r="C12" s="4"/>
      <x:c r="D12" s="4"/>
      <x:c r="E12" s="4"/>
      <x:c r="F12" s="4"/>
      <x:c r="G12" s="4"/>
    </x:row>
    <x:row r="13" ht="21" customHeight="1">
      <x:c r="A13" s="4" t="str">
        <x:v>Custo de produto por unidade</x:v>
      </x:c>
      <x:c r="B13" s="30" t="n">
        <x:f>SUMPRODUCT(D5:D7,C5:C7)</x:f>
        <x:v>6.145</x:v>
      </x:c>
      <x:c r="C13" s="4"/>
      <x:c r="D13" s="4"/>
      <x:c r="E13" s="4"/>
      <x:c r="F13" s="4"/>
      <x:c r="G13" s="4"/>
    </x:row>
    <x:row r="14" ht="21" customHeight="1">
      <x:c r="A14" s="4" t="str">
        <x:v>Logística variável / unidade</x:v>
      </x:c>
      <x:c r="B14" s="30" t="n">
        <x:f>Pressupostos!B8</x:f>
        <x:v>1.2</x:v>
      </x:c>
      <x:c r="C14" s="4"/>
      <x:c r="D14" s="4"/>
      <x:c r="E14" s="4"/>
      <x:c r="F14" s="4"/>
      <x:c r="G14" s="4"/>
    </x:row>
    <x:row r="15" ht="21" customHeight="1">
      <x:c r="A15" s="4" t="str">
        <x:v>Comissão DTC ponderada / unidade</x:v>
      </x:c>
      <x:c r="B15" s="30" t="n">
        <x:f>B11*Pressupostos!B6*Pressupostos!B9</x:f>
        <x:v>0.29263211382113824</x:v>
      </x:c>
      <x:c r="C15" s="4"/>
      <x:c r="D15" s="4"/>
      <x:c r="E15" s="4"/>
      <x:c r="F15" s="4"/>
      <x:c r="G15" s="4"/>
    </x:row>
    <x:row r="16" ht="21" customHeight="1">
      <x:c r="A16" s="4" t="str">
        <x:v>Margem contribuição / unidade</x:v>
      </x:c>
      <x:c r="B16" s="30" t="n">
        <x:f>B12-B13-B14-B15</x:f>
        <x:v>7.534217479674797</x:v>
      </x:c>
      <x:c r="C16" s="4"/>
      <x:c r="D16" s="4"/>
      <x:c r="E16" s="4"/>
      <x:c r="F16" s="4"/>
      <x:c r="G16" s="4"/>
    </x:row>
    <x:row r="17" ht="21" customHeight="1">
      <x:c r="A17" s="4" t="str">
        <x:v>Margem de contribuição (%)</x:v>
      </x:c>
      <x:c r="B17" s="28" t="n">
        <x:f>IFERROR(B16/B12,0)</x:f>
        <x:v>0.4965918910048161</x:v>
      </x:c>
      <x:c r="C17" s="4"/>
      <x:c r="D17" s="4"/>
      <x:c r="E17" s="4"/>
      <x:c r="F17" s="4"/>
      <x:c r="G17" s="4"/>
    </x:row>
    <x:row r="18" ht="21" customHeight="1">
      <x:c r="A18" s="4" t="str">
        <x:v>Vendas directas (%)</x:v>
      </x:c>
      <x:c r="B18" s="28" t="n">
        <x:f>Pressupostos!B6</x:f>
        <x:v>0.65</x:v>
      </x:c>
      <x:c r="C18" s="4"/>
      <x:c r="D18" s="4"/>
      <x:c r="E18" s="4"/>
      <x:c r="F18" s="4"/>
      <x:c r="G18" s="4"/>
    </x:row>
    <x:row r="19" ht="21" customHeight="1">
      <x:c r="A19" s="4" t="str">
        <x:v>Vendas grossistas (%)</x:v>
      </x:c>
      <x:c r="B19" s="28" t="n">
        <x:f>1-B18</x:f>
        <x:v>0.35</x:v>
      </x:c>
      <x:c r="C19" s="4"/>
      <x:c r="D19" s="4"/>
      <x:c r="E19" s="4"/>
      <x:c r="F19" s="4"/>
      <x:c r="G19" s="4"/>
    </x:row>
    <x:row r="20" ht="21" customHeight="1">
      <x:c r="A20" s="4"/>
      <x:c r="B20" s="4"/>
      <x:c r="C20" s="4"/>
      <x:c r="D20" s="4"/>
      <x:c r="E20" s="4"/>
      <x:c r="F20" s="4"/>
      <x:c r="G20" s="4"/>
    </x:row>
    <x:row r="21" ht="21" customHeight="1">
      <x:c r="A21" s="4"/>
      <x:c r="B21" s="4"/>
      <x:c r="C21" s="4"/>
      <x:c r="D21" s="4"/>
      <x:c r="E21" s="4"/>
      <x:c r="F21" s="4"/>
      <x:c r="G21" s="4"/>
    </x:row>
    <x:row r="22" ht="21" customHeight="1">
      <x:c r="A22" s="4"/>
      <x:c r="B22" s="4"/>
      <x:c r="C22" s="4"/>
      <x:c r="D22" s="4"/>
      <x:c r="E22" s="4"/>
      <x:c r="F22" s="4"/>
      <x:c r="G22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VENDAS MENSAIS — ANO 1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1" customHeight="1">
      <x:c r="A2" s="12" t="str">
        <x:v>Alterar volumes no início; restantes valores são calculados.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1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1" customHeight="1">
      <x:c r="A4" s="26" t="str">
        <x:v>Indicador</x:v>
      </x:c>
      <x:c r="B4" s="26" t="str">
        <x:v>Jan</x:v>
      </x:c>
      <x:c r="C4" s="26" t="str">
        <x:v>Fev</x:v>
      </x:c>
      <x:c r="D4" s="26" t="str">
        <x:v>Mar</x:v>
      </x:c>
      <x:c r="E4" s="26" t="str">
        <x:v>Abr</x:v>
      </x:c>
      <x:c r="F4" s="26" t="str">
        <x:v>Mai</x:v>
      </x:c>
      <x:c r="G4" s="26" t="str">
        <x:v>Jun</x:v>
      </x:c>
      <x:c r="H4" s="26" t="str">
        <x:v>Jul</x:v>
      </x:c>
      <x:c r="I4" s="26" t="str">
        <x:v>Ago</x:v>
      </x:c>
      <x:c r="J4" s="26" t="str">
        <x:v>Set</x:v>
      </x:c>
      <x:c r="K4" s="26" t="str">
        <x:v>Out</x:v>
      </x:c>
      <x:c r="L4" s="26" t="str">
        <x:v>Nov</x:v>
      </x:c>
      <x:c r="M4" s="26" t="str">
        <x:v>Dez</x:v>
      </x:c>
      <x:c r="N4" s="26" t="str">
        <x:v>Total anual</x:v>
      </x:c>
    </x:row>
    <x:row r="5" ht="21" customHeight="1">
      <x:c r="A5" s="4" t="str">
        <x:v>Unidades vendidas</x:v>
      </x:c>
      <x:c r="B5" s="32" t="n">
        <x:v>900</x:v>
      </x:c>
      <x:c r="C5" s="32" t="n">
        <x:v>1000</x:v>
      </x:c>
      <x:c r="D5" s="32" t="n">
        <x:v>1200</x:v>
      </x:c>
      <x:c r="E5" s="32" t="n">
        <x:v>1400</x:v>
      </x:c>
      <x:c r="F5" s="32" t="n">
        <x:v>1600</x:v>
      </x:c>
      <x:c r="G5" s="32" t="n">
        <x:v>1800</x:v>
      </x:c>
      <x:c r="H5" s="32" t="n">
        <x:v>2000</x:v>
      </x:c>
      <x:c r="I5" s="32" t="n">
        <x:v>2200</x:v>
      </x:c>
      <x:c r="J5" s="32" t="n">
        <x:v>2500</x:v>
      </x:c>
      <x:c r="K5" s="32" t="n">
        <x:v>2800</x:v>
      </x:c>
      <x:c r="L5" s="32" t="n">
        <x:v>3100</x:v>
      </x:c>
      <x:c r="M5" s="32" t="n">
        <x:v>3400</x:v>
      </x:c>
      <x:c r="N5" s="36" t="n">
        <x:f>SUM(B5:M5)</x:f>
        <x:v>23900</x:v>
      </x:c>
    </x:row>
    <x:row r="6" ht="21" customHeight="1">
      <x:c r="A6" s="4" t="str">
        <x:v>Receita direta sem IVA</x:v>
      </x:c>
      <x:c r="B6" s="30" t="n">
        <x:f>B5*Produtos!$B$11*Pressupostos!$B$6</x:f>
        <x:v>10534.756097560976</x:v>
      </x:c>
      <x:c r="C6" s="30" t="n">
        <x:f>C5*Produtos!$B$11*Pressupostos!$B$6</x:f>
        <x:v>11705.28455284553</x:v>
      </x:c>
      <x:c r="D6" s="30" t="n">
        <x:f>D5*Produtos!$B$11*Pressupostos!$B$6</x:f>
        <x:v>14046.341463414634</x:v>
      </x:c>
      <x:c r="E6" s="30" t="n">
        <x:f>E5*Produtos!$B$11*Pressupostos!$B$6</x:f>
        <x:v>16387.398373983742</x:v>
      </x:c>
      <x:c r="F6" s="30" t="n">
        <x:f>F5*Produtos!$B$11*Pressupostos!$B$6</x:f>
        <x:v>18728.455284552845</x:v>
      </x:c>
      <x:c r="G6" s="30" t="n">
        <x:f>G5*Produtos!$B$11*Pressupostos!$B$6</x:f>
        <x:v>21069.51219512195</x:v>
      </x:c>
      <x:c r="H6" s="30" t="n">
        <x:f>H5*Produtos!$B$11*Pressupostos!$B$6</x:f>
        <x:v>23410.56910569106</x:v>
      </x:c>
      <x:c r="I6" s="30" t="n">
        <x:f>I5*Produtos!$B$11*Pressupostos!$B$6</x:f>
        <x:v>25751.62601626016</x:v>
      </x:c>
      <x:c r="J6" s="30" t="n">
        <x:f>J5*Produtos!$B$11*Pressupostos!$B$6</x:f>
        <x:v>29263.211382113823</x:v>
      </x:c>
      <x:c r="K6" s="30" t="n">
        <x:f>K5*Produtos!$B$11*Pressupostos!$B$6</x:f>
        <x:v>32774.796747967484</x:v>
      </x:c>
      <x:c r="L6" s="30" t="n">
        <x:f>L5*Produtos!$B$11*Pressupostos!$B$6</x:f>
        <x:v>36286.38211382114</x:v>
      </x:c>
      <x:c r="M6" s="30" t="n">
        <x:f>M5*Produtos!$B$11*Pressupostos!$B$6</x:f>
        <x:v>39797.96747967479</x:v>
      </x:c>
      <x:c r="N6" s="37" t="n">
        <x:f>SUM(B6:M6)</x:f>
        <x:v>279756.30081300816</x:v>
      </x:c>
    </x:row>
    <x:row r="7" ht="21" customHeight="1">
      <x:c r="A7" s="4" t="str">
        <x:v>Receita grossista sem IVA</x:v>
      </x:c>
      <x:c r="B7" s="30" t="n">
        <x:f>B5*Produtos!$B$11*(1-Pressupostos!$B$6)*Pressupostos!$B$7</x:f>
        <x:v>3119.9085365853657</x:v>
      </x:c>
      <x:c r="C7" s="30" t="n">
        <x:f>C5*Produtos!$B$11*(1-Pressupostos!$B$6)*Pressupostos!$B$7</x:f>
        <x:v>3466.5650406504064</x:v>
      </x:c>
      <x:c r="D7" s="30" t="n">
        <x:f>D5*Produtos!$B$11*(1-Pressupostos!$B$6)*Pressupostos!$B$7</x:f>
        <x:v>4159.878048780487</x:v>
      </x:c>
      <x:c r="E7" s="30" t="n">
        <x:f>E5*Produtos!$B$11*(1-Pressupostos!$B$6)*Pressupostos!$B$7</x:f>
        <x:v>4853.191056910569</x:v>
      </x:c>
      <x:c r="F7" s="30" t="n">
        <x:f>F5*Produtos!$B$11*(1-Pressupostos!$B$6)*Pressupostos!$B$7</x:f>
        <x:v>5546.504065040651</x:v>
      </x:c>
      <x:c r="G7" s="30" t="n">
        <x:f>G5*Produtos!$B$11*(1-Pressupostos!$B$6)*Pressupostos!$B$7</x:f>
        <x:v>6239.817073170731</x:v>
      </x:c>
      <x:c r="H7" s="30" t="n">
        <x:f>H5*Produtos!$B$11*(1-Pressupostos!$B$6)*Pressupostos!$B$7</x:f>
        <x:v>6933.130081300813</x:v>
      </x:c>
      <x:c r="I7" s="30" t="n">
        <x:f>I5*Produtos!$B$11*(1-Pressupostos!$B$6)*Pressupostos!$B$7</x:f>
        <x:v>7626.443089430893</x:v>
      </x:c>
      <x:c r="J7" s="30" t="n">
        <x:f>J5*Produtos!$B$11*(1-Pressupostos!$B$6)*Pressupostos!$B$7</x:f>
        <x:v>8666.412601626016</x:v>
      </x:c>
      <x:c r="K7" s="30" t="n">
        <x:f>K5*Produtos!$B$11*(1-Pressupostos!$B$6)*Pressupostos!$B$7</x:f>
        <x:v>9706.382113821139</x:v>
      </x:c>
      <x:c r="L7" s="30" t="n">
        <x:f>L5*Produtos!$B$11*(1-Pressupostos!$B$6)*Pressupostos!$B$7</x:f>
        <x:v>10746.35162601626</x:v>
      </x:c>
      <x:c r="M7" s="30" t="n">
        <x:f>M5*Produtos!$B$11*(1-Pressupostos!$B$6)*Pressupostos!$B$7</x:f>
        <x:v>11786.32113821138</x:v>
      </x:c>
      <x:c r="N7" s="37" t="n">
        <x:f>SUM(B7:M7)</x:f>
        <x:v>82850.90447154471</x:v>
      </x:c>
    </x:row>
    <x:row r="8" ht="21" customHeight="1">
      <x:c r="A8" s="6" t="str">
        <x:v>Receita total sem IVA</x:v>
      </x:c>
      <x:c r="B8" s="40" t="n">
        <x:f>SUM(B6:B7)</x:f>
        <x:v>13654.664634146342</x:v>
      </x:c>
      <x:c r="C8" s="40" t="n">
        <x:f>SUM(C6:C7)</x:f>
        <x:v>15171.849593495936</x:v>
      </x:c>
      <x:c r="D8" s="40" t="n">
        <x:f>SUM(D6:D7)</x:f>
        <x:v>18206.219512195123</x:v>
      </x:c>
      <x:c r="E8" s="40" t="n">
        <x:f>SUM(E6:E7)</x:f>
        <x:v>21240.58943089431</x:v>
      </x:c>
      <x:c r="F8" s="40" t="n">
        <x:f>SUM(F6:F7)</x:f>
        <x:v>24274.959349593497</x:v>
      </x:c>
      <x:c r="G8" s="40" t="n">
        <x:f>SUM(G6:G7)</x:f>
        <x:v>27309.329268292684</x:v>
      </x:c>
      <x:c r="H8" s="40" t="n">
        <x:f>SUM(H6:H7)</x:f>
        <x:v>30343.69918699187</x:v>
      </x:c>
      <x:c r="I8" s="40" t="n">
        <x:f>SUM(I6:I7)</x:f>
        <x:v>33378.06910569106</x:v>
      </x:c>
      <x:c r="J8" s="40" t="n">
        <x:f>SUM(J6:J7)</x:f>
        <x:v>37929.62398373984</x:v>
      </x:c>
      <x:c r="K8" s="40" t="n">
        <x:f>SUM(K6:K7)</x:f>
        <x:v>42481.17886178862</x:v>
      </x:c>
      <x:c r="L8" s="40" t="n">
        <x:f>SUM(L6:L7)</x:f>
        <x:v>47032.7337398374</x:v>
      </x:c>
      <x:c r="M8" s="40" t="n">
        <x:f>SUM(M6:M7)</x:f>
        <x:v>51584.28861788617</x:v>
      </x:c>
      <x:c r="N8" s="41" t="n">
        <x:f>SUM(B8:M8)</x:f>
        <x:v>362607.2052845529</x:v>
      </x:c>
    </x:row>
    <x:row r="9" ht="21" customHeight="1">
      <x:c r="A9" s="4" t="str">
        <x:v>Custo das mercadorias</x:v>
      </x:c>
      <x:c r="B9" s="30" t="n">
        <x:f>B5*Produtos!$B$13</x:f>
        <x:v>5530.5</x:v>
      </x:c>
      <x:c r="C9" s="30" t="n">
        <x:f>C5*Produtos!$B$13</x:f>
        <x:v>6145</x:v>
      </x:c>
      <x:c r="D9" s="30" t="n">
        <x:f>D5*Produtos!$B$13</x:f>
        <x:v>7373.999999999999</x:v>
      </x:c>
      <x:c r="E9" s="30" t="n">
        <x:f>E5*Produtos!$B$13</x:f>
        <x:v>8603</x:v>
      </x:c>
      <x:c r="F9" s="30" t="n">
        <x:f>F5*Produtos!$B$13</x:f>
        <x:v>9832</x:v>
      </x:c>
      <x:c r="G9" s="30" t="n">
        <x:f>G5*Produtos!$B$13</x:f>
        <x:v>11061</x:v>
      </x:c>
      <x:c r="H9" s="30" t="n">
        <x:f>H5*Produtos!$B$13</x:f>
        <x:v>12290</x:v>
      </x:c>
      <x:c r="I9" s="30" t="n">
        <x:f>I5*Produtos!$B$13</x:f>
        <x:v>13518.999999999998</x:v>
      </x:c>
      <x:c r="J9" s="30" t="n">
        <x:f>J5*Produtos!$B$13</x:f>
        <x:v>15362.499999999998</x:v>
      </x:c>
      <x:c r="K9" s="30" t="n">
        <x:f>K5*Produtos!$B$13</x:f>
        <x:v>17206</x:v>
      </x:c>
      <x:c r="L9" s="30" t="n">
        <x:f>L5*Produtos!$B$13</x:f>
        <x:v>19049.5</x:v>
      </x:c>
      <x:c r="M9" s="30" t="n">
        <x:f>M5*Produtos!$B$13</x:f>
        <x:v>20893</x:v>
      </x:c>
      <x:c r="N9" s="37" t="n">
        <x:f>SUM(B9:M9)</x:f>
        <x:v>146865.5</x:v>
      </x:c>
    </x:row>
    <x:row r="10" ht="21" customHeight="1">
      <x:c r="A10" s="4" t="str">
        <x:v>Logística variável</x:v>
      </x:c>
      <x:c r="B10" s="30" t="n">
        <x:f>B5*Pressupostos!$B$8</x:f>
        <x:v>1080</x:v>
      </x:c>
      <x:c r="C10" s="30" t="n">
        <x:f>C5*Pressupostos!$B$8</x:f>
        <x:v>1200</x:v>
      </x:c>
      <x:c r="D10" s="30" t="n">
        <x:f>D5*Pressupostos!$B$8</x:f>
        <x:v>1440</x:v>
      </x:c>
      <x:c r="E10" s="30" t="n">
        <x:f>E5*Pressupostos!$B$8</x:f>
        <x:v>1680</x:v>
      </x:c>
      <x:c r="F10" s="30" t="n">
        <x:f>F5*Pressupostos!$B$8</x:f>
        <x:v>1920</x:v>
      </x:c>
      <x:c r="G10" s="30" t="n">
        <x:f>G5*Pressupostos!$B$8</x:f>
        <x:v>2160</x:v>
      </x:c>
      <x:c r="H10" s="30" t="n">
        <x:f>H5*Pressupostos!$B$8</x:f>
        <x:v>2400</x:v>
      </x:c>
      <x:c r="I10" s="30" t="n">
        <x:f>I5*Pressupostos!$B$8</x:f>
        <x:v>2640</x:v>
      </x:c>
      <x:c r="J10" s="30" t="n">
        <x:f>J5*Pressupostos!$B$8</x:f>
        <x:v>3000</x:v>
      </x:c>
      <x:c r="K10" s="30" t="n">
        <x:f>K5*Pressupostos!$B$8</x:f>
        <x:v>3360</x:v>
      </x:c>
      <x:c r="L10" s="30" t="n">
        <x:f>L5*Pressupostos!$B$8</x:f>
        <x:v>3720</x:v>
      </x:c>
      <x:c r="M10" s="30" t="n">
        <x:f>M5*Pressupostos!$B$8</x:f>
        <x:v>4080</x:v>
      </x:c>
      <x:c r="N10" s="37" t="n">
        <x:f>SUM(B10:M10)</x:f>
        <x:v>28680</x:v>
      </x:c>
    </x:row>
    <x:row r="11" ht="21" customHeight="1">
      <x:c r="A11" s="4" t="str">
        <x:v>Comissões DTC</x:v>
      </x:c>
      <x:c r="B11" s="30" t="n">
        <x:f>B6*Pressupostos!$B$9</x:f>
        <x:v>263.3689024390244</x:v>
      </x:c>
      <x:c r="C11" s="30" t="n">
        <x:f>C6*Pressupostos!$B$9</x:f>
        <x:v>292.63211382113826</x:v>
      </x:c>
      <x:c r="D11" s="30" t="n">
        <x:f>D6*Pressupostos!$B$9</x:f>
        <x:v>351.1585365853659</x:v>
      </x:c>
      <x:c r="E11" s="30" t="n">
        <x:f>E6*Pressupostos!$B$9</x:f>
        <x:v>409.68495934959356</x:v>
      </x:c>
      <x:c r="F11" s="30" t="n">
        <x:f>F6*Pressupostos!$B$9</x:f>
        <x:v>468.2113821138212</x:v>
      </x:c>
      <x:c r="G11" s="30" t="n">
        <x:f>G6*Pressupostos!$B$9</x:f>
        <x:v>526.7378048780488</x:v>
      </x:c>
      <x:c r="H11" s="30" t="n">
        <x:f>H6*Pressupostos!$B$9</x:f>
        <x:v>585.2642276422765</x:v>
      </x:c>
      <x:c r="I11" s="30" t="n">
        <x:f>I6*Pressupostos!$B$9</x:f>
        <x:v>643.790650406504</x:v>
      </x:c>
      <x:c r="J11" s="30" t="n">
        <x:f>J6*Pressupostos!$B$9</x:f>
        <x:v>731.5802845528456</x:v>
      </x:c>
      <x:c r="K11" s="30" t="n">
        <x:f>K6*Pressupostos!$B$9</x:f>
        <x:v>819.3699186991871</x:v>
      </x:c>
      <x:c r="L11" s="30" t="n">
        <x:f>L6*Pressupostos!$B$9</x:f>
        <x:v>907.1595528455287</x:v>
      </x:c>
      <x:c r="M11" s="30" t="n">
        <x:f>M6*Pressupostos!$B$9</x:f>
        <x:v>994.9491869918699</x:v>
      </x:c>
      <x:c r="N11" s="37" t="n">
        <x:f>SUM(B11:M11)</x:f>
        <x:v>6993.907520325204</x:v>
      </x:c>
    </x:row>
    <x:row r="12" ht="21" customHeight="1">
      <x:c r="A12" s="4" t="str">
        <x:v>Margem de contribuição</x:v>
      </x:c>
      <x:c r="B12" s="30" t="n">
        <x:f>B8-SUM(B9:B11)</x:f>
        <x:v>6780.795731707318</x:v>
      </x:c>
      <x:c r="C12" s="30" t="n">
        <x:f>C8-SUM(C9:C11)</x:f>
        <x:v>7534.217479674798</x:v>
      </x:c>
      <x:c r="D12" s="30" t="n">
        <x:f>D8-SUM(D9:D11)</x:f>
        <x:v>9041.060975609756</x:v>
      </x:c>
      <x:c r="E12" s="30" t="n">
        <x:f>E8-SUM(E9:E11)</x:f>
        <x:v>10547.904471544716</x:v>
      </x:c>
      <x:c r="F12" s="30" t="n">
        <x:f>F8-SUM(F9:F11)</x:f>
        <x:v>12054.747967479676</x:v>
      </x:c>
      <x:c r="G12" s="30" t="n">
        <x:f>G8-SUM(G9:G11)</x:f>
        <x:v>13561.591463414636</x:v>
      </x:c>
      <x:c r="H12" s="30" t="n">
        <x:f>H8-SUM(H9:H11)</x:f>
        <x:v>15068.434959349595</x:v>
      </x:c>
      <x:c r="I12" s="30" t="n">
        <x:f>I8-SUM(I9:I11)</x:f>
        <x:v>16575.278455284555</x:v>
      </x:c>
      <x:c r="J12" s="30" t="n">
        <x:f>J8-SUM(J9:J11)</x:f>
        <x:v>18835.543699186994</x:v>
      </x:c>
      <x:c r="K12" s="30" t="n">
        <x:f>K8-SUM(K9:K11)</x:f>
        <x:v>21095.808943089432</x:v>
      </x:c>
      <x:c r="L12" s="30" t="n">
        <x:f>L8-SUM(L9:L11)</x:f>
        <x:v>23356.07418699187</x:v>
      </x:c>
      <x:c r="M12" s="30" t="n">
        <x:f>M8-SUM(M9:M11)</x:f>
        <x:v>25616.339430894302</x:v>
      </x:c>
      <x:c r="N12" s="37" t="n">
        <x:f>SUM(B12:M12)</x:f>
        <x:v>180067.79776422764</x:v>
      </x:c>
    </x:row>
    <x:row r="13" ht="21" customHeight="1">
      <x:c r="A13" s="4" t="str">
        <x:v>Custos fixos operacionais</x:v>
      </x:c>
      <x:c r="B13" s="30" t="n">
        <x:f>Pressupostos!$B$10</x:f>
        <x:v>10500</x:v>
      </x:c>
      <x:c r="C13" s="30" t="n">
        <x:f>Pressupostos!$B$10</x:f>
        <x:v>10500</x:v>
      </x:c>
      <x:c r="D13" s="30" t="n">
        <x:f>Pressupostos!$B$10</x:f>
        <x:v>10500</x:v>
      </x:c>
      <x:c r="E13" s="30" t="n">
        <x:f>Pressupostos!$B$10</x:f>
        <x:v>10500</x:v>
      </x:c>
      <x:c r="F13" s="30" t="n">
        <x:f>Pressupostos!$B$10</x:f>
        <x:v>10500</x:v>
      </x:c>
      <x:c r="G13" s="30" t="n">
        <x:f>Pressupostos!$B$10</x:f>
        <x:v>10500</x:v>
      </x:c>
      <x:c r="H13" s="30" t="n">
        <x:f>Pressupostos!$B$10</x:f>
        <x:v>10500</x:v>
      </x:c>
      <x:c r="I13" s="30" t="n">
        <x:f>Pressupostos!$B$10</x:f>
        <x:v>10500</x:v>
      </x:c>
      <x:c r="J13" s="30" t="n">
        <x:f>Pressupostos!$B$10</x:f>
        <x:v>10500</x:v>
      </x:c>
      <x:c r="K13" s="30" t="n">
        <x:f>Pressupostos!$B$10</x:f>
        <x:v>10500</x:v>
      </x:c>
      <x:c r="L13" s="30" t="n">
        <x:f>Pressupostos!$B$10</x:f>
        <x:v>10500</x:v>
      </x:c>
      <x:c r="M13" s="30" t="n">
        <x:f>Pressupostos!$B$10</x:f>
        <x:v>10500</x:v>
      </x:c>
      <x:c r="N13" s="37" t="n">
        <x:f>SUM(B13:M13)</x:f>
        <x:v>126000</x:v>
      </x:c>
    </x:row>
    <x:row r="14" ht="21" customHeight="1">
      <x:c r="A14" s="6" t="str">
        <x:v>EBITDA</x:v>
      </x:c>
      <x:c r="B14" s="40" t="n">
        <x:f>B12-B13</x:f>
        <x:v>-3719.204268292682</x:v>
      </x:c>
      <x:c r="C14" s="40" t="n">
        <x:f>C12-C13</x:f>
        <x:v>-2965.7825203252023</x:v>
      </x:c>
      <x:c r="D14" s="40" t="n">
        <x:f>D12-D13</x:f>
        <x:v>-1458.9390243902435</x:v>
      </x:c>
      <x:c r="E14" s="40" t="n">
        <x:f>E12-E13</x:f>
        <x:v>47.904471544716216</x:v>
      </x:c>
      <x:c r="F14" s="40" t="n">
        <x:f>F12-F13</x:f>
        <x:v>1554.747967479676</x:v>
      </x:c>
      <x:c r="G14" s="40" t="n">
        <x:f>G12-G13</x:f>
        <x:v>3061.5914634146357</x:v>
      </x:c>
      <x:c r="H14" s="40" t="n">
        <x:f>H12-H13</x:f>
        <x:v>4568.434959349595</x:v>
      </x:c>
      <x:c r="I14" s="40" t="n">
        <x:f>I12-I13</x:f>
        <x:v>6075.278455284555</x:v>
      </x:c>
      <x:c r="J14" s="40" t="n">
        <x:f>J12-J13</x:f>
        <x:v>8335.543699186994</x:v>
      </x:c>
      <x:c r="K14" s="40" t="n">
        <x:f>K12-K13</x:f>
        <x:v>10595.808943089432</x:v>
      </x:c>
      <x:c r="L14" s="40" t="n">
        <x:f>L12-L13</x:f>
        <x:v>12856.074186991871</x:v>
      </x:c>
      <x:c r="M14" s="40" t="n">
        <x:f>M12-M13</x:f>
        <x:v>15116.339430894302</x:v>
      </x:c>
      <x:c r="N14" s="41" t="n">
        <x:f>SUM(B14:M14)</x:f>
        <x:v>54067.797764227646</x:v>
      </x:c>
    </x:row>
    <x:row r="15" ht="21" customHeight="1">
      <x:c r="A15" s="4" t="str">
        <x:v>Depreciação</x:v>
      </x:c>
      <x:c r="B15" s="30" t="n">
        <x:f>Pressupostos!$B$18/12</x:f>
        <x:v>583.3333333333334</x:v>
      </x:c>
      <x:c r="C15" s="30" t="n">
        <x:f>Pressupostos!$B$18/12</x:f>
        <x:v>583.3333333333334</x:v>
      </x:c>
      <x:c r="D15" s="30" t="n">
        <x:f>Pressupostos!$B$18/12</x:f>
        <x:v>583.3333333333334</x:v>
      </x:c>
      <x:c r="E15" s="30" t="n">
        <x:f>Pressupostos!$B$18/12</x:f>
        <x:v>583.3333333333334</x:v>
      </x:c>
      <x:c r="F15" s="30" t="n">
        <x:f>Pressupostos!$B$18/12</x:f>
        <x:v>583.3333333333334</x:v>
      </x:c>
      <x:c r="G15" s="30" t="n">
        <x:f>Pressupostos!$B$18/12</x:f>
        <x:v>583.3333333333334</x:v>
      </x:c>
      <x:c r="H15" s="30" t="n">
        <x:f>Pressupostos!$B$18/12</x:f>
        <x:v>583.3333333333334</x:v>
      </x:c>
      <x:c r="I15" s="30" t="n">
        <x:f>Pressupostos!$B$18/12</x:f>
        <x:v>583.3333333333334</x:v>
      </x:c>
      <x:c r="J15" s="30" t="n">
        <x:f>Pressupostos!$B$18/12</x:f>
        <x:v>583.3333333333334</x:v>
      </x:c>
      <x:c r="K15" s="30" t="n">
        <x:f>Pressupostos!$B$18/12</x:f>
        <x:v>583.3333333333334</x:v>
      </x:c>
      <x:c r="L15" s="30" t="n">
        <x:f>Pressupostos!$B$18/12</x:f>
        <x:v>583.3333333333334</x:v>
      </x:c>
      <x:c r="M15" s="30" t="n">
        <x:f>Pressupostos!$B$18/12</x:f>
        <x:v>583.3333333333334</x:v>
      </x:c>
      <x:c r="N15" s="37" t="n">
        <x:f>SUM(B15:M15)</x:f>
        <x:v>6999.999999999999</x:v>
      </x:c>
    </x:row>
    <x:row r="16" ht="21" customHeight="1">
      <x:c r="A16" s="4" t="str">
        <x:v>EBIT</x:v>
      </x:c>
      <x:c r="B16" s="30" t="n">
        <x:f>B14-B15</x:f>
        <x:v>-4302.537601626015</x:v>
      </x:c>
      <x:c r="C16" s="30" t="n">
        <x:f>C14-C15</x:f>
        <x:v>-3549.115853658536</x:v>
      </x:c>
      <x:c r="D16" s="30" t="n">
        <x:f>D14-D15</x:f>
        <x:v>-2042.272357723577</x:v>
      </x:c>
      <x:c r="E16" s="30" t="n">
        <x:f>E14-E15</x:f>
        <x:v>-535.4288617886172</x:v>
      </x:c>
      <x:c r="F16" s="30" t="n">
        <x:f>F14-F15</x:f>
        <x:v>971.4146341463426</x:v>
      </x:c>
      <x:c r="G16" s="30" t="n">
        <x:f>G14-G15</x:f>
        <x:v>2478.258130081302</x:v>
      </x:c>
      <x:c r="H16" s="30" t="n">
        <x:f>H14-H15</x:f>
        <x:v>3985.101626016262</x:v>
      </x:c>
      <x:c r="I16" s="30" t="n">
        <x:f>I14-I15</x:f>
        <x:v>5491.945121951222</x:v>
      </x:c>
      <x:c r="J16" s="30" t="n">
        <x:f>J14-J15</x:f>
        <x:v>7752.210365853661</x:v>
      </x:c>
      <x:c r="K16" s="30" t="n">
        <x:f>K14-K15</x:f>
        <x:v>10012.475609756098</x:v>
      </x:c>
      <x:c r="L16" s="30" t="n">
        <x:f>L14-L15</x:f>
        <x:v>12272.740853658537</x:v>
      </x:c>
      <x:c r="M16" s="30" t="n">
        <x:f>M14-M15</x:f>
        <x:v>14533.006097560969</x:v>
      </x:c>
      <x:c r="N16" s="37" t="n">
        <x:f>SUM(B16:M16)</x:f>
        <x:v>47067.797764227646</x:v>
      </x:c>
    </x:row>
    <x:row r="17" ht="21" customHeight="1">
      <x:c r="A17" s="4" t="str">
        <x:v>Juros (aprox.)</x:v>
      </x:c>
      <x:c r="B17" s="30" t="n">
        <x:f>MAX(0,Pressupostos!$B$15-(COLUMN()-2)*(Pressupostos!$B$17/12))*Pressupostos!$B$16/12</x:f>
        <x:v>350</x:v>
      </x:c>
      <x:c r="C17" s="30" t="n">
        <x:f>MAX(0,Pressupostos!$B$15-(COLUMN()-2)*(Pressupostos!$B$17/12))*Pressupostos!$B$16/12</x:f>
        <x:v>344.1666666666667</x:v>
      </x:c>
      <x:c r="D17" s="30" t="n">
        <x:f>MAX(0,Pressupostos!$B$15-(COLUMN()-2)*(Pressupostos!$B$17/12))*Pressupostos!$B$16/12</x:f>
        <x:v>338.33333333333337</x:v>
      </x:c>
      <x:c r="E17" s="30" t="n">
        <x:f>MAX(0,Pressupostos!$B$15-(COLUMN()-2)*(Pressupostos!$B$17/12))*Pressupostos!$B$16/12</x:f>
        <x:v>332.50000000000006</x:v>
      </x:c>
      <x:c r="F17" s="30" t="n">
        <x:f>MAX(0,Pressupostos!$B$15-(COLUMN()-2)*(Pressupostos!$B$17/12))*Pressupostos!$B$16/12</x:f>
        <x:v>326.6666666666667</x:v>
      </x:c>
      <x:c r="G17" s="30" t="n">
        <x:f>MAX(0,Pressupostos!$B$15-(COLUMN()-2)*(Pressupostos!$B$17/12))*Pressupostos!$B$16/12</x:f>
        <x:v>320.83333333333337</x:v>
      </x:c>
      <x:c r="H17" s="30" t="n">
        <x:f>MAX(0,Pressupostos!$B$15-(COLUMN()-2)*(Pressupostos!$B$17/12))*Pressupostos!$B$16/12</x:f>
        <x:v>315.00000000000006</x:v>
      </x:c>
      <x:c r="I17" s="30" t="n">
        <x:f>MAX(0,Pressupostos!$B$15-(COLUMN()-2)*(Pressupostos!$B$17/12))*Pressupostos!$B$16/12</x:f>
        <x:v>309.1666666666667</x:v>
      </x:c>
      <x:c r="J17" s="30" t="n">
        <x:f>MAX(0,Pressupostos!$B$15-(COLUMN()-2)*(Pressupostos!$B$17/12))*Pressupostos!$B$16/12</x:f>
        <x:v>303.33333333333337</x:v>
      </x:c>
      <x:c r="K17" s="30" t="n">
        <x:f>MAX(0,Pressupostos!$B$15-(COLUMN()-2)*(Pressupostos!$B$17/12))*Pressupostos!$B$16/12</x:f>
        <x:v>297.50000000000006</x:v>
      </x:c>
      <x:c r="L17" s="30" t="n">
        <x:f>MAX(0,Pressupostos!$B$15-(COLUMN()-2)*(Pressupostos!$B$17/12))*Pressupostos!$B$16/12</x:f>
        <x:v>291.6666666666667</x:v>
      </x:c>
      <x:c r="M17" s="30" t="n">
        <x:f>MAX(0,Pressupostos!$B$15-(COLUMN()-2)*(Pressupostos!$B$17/12))*Pressupostos!$B$16/12</x:f>
        <x:v>285.83333333333337</x:v>
      </x:c>
      <x:c r="N17" s="37" t="n">
        <x:f>SUM(B17:M17)</x:f>
        <x:v>3815</x:v>
      </x:c>
    </x:row>
    <x:row r="18" ht="21" customHeight="1">
      <x:c r="A18" s="4" t="str">
        <x:v>Resultado antes de imposto</x:v>
      </x:c>
      <x:c r="B18" s="30" t="n">
        <x:f>B16-B17</x:f>
        <x:v>-4652.537601626015</x:v>
      </x:c>
      <x:c r="C18" s="30" t="n">
        <x:f>C16-C17</x:f>
        <x:v>-3893.2825203252023</x:v>
      </x:c>
      <x:c r="D18" s="30" t="n">
        <x:f>D16-D17</x:f>
        <x:v>-2380.6056910569105</x:v>
      </x:c>
      <x:c r="E18" s="30" t="n">
        <x:f>E16-E17</x:f>
        <x:v>-867.9288617886173</x:v>
      </x:c>
      <x:c r="F18" s="30" t="n">
        <x:f>F16-F17</x:f>
        <x:v>644.7479674796759</x:v>
      </x:c>
      <x:c r="G18" s="30" t="n">
        <x:f>G16-G17</x:f>
        <x:v>2157.4247967479687</x:v>
      </x:c>
      <x:c r="H18" s="30" t="n">
        <x:f>H16-H17</x:f>
        <x:v>3670.101626016262</x:v>
      </x:c>
      <x:c r="I18" s="30" t="n">
        <x:f>I16-I17</x:f>
        <x:v>5182.778455284555</x:v>
      </x:c>
      <x:c r="J18" s="30" t="n">
        <x:f>J16-J17</x:f>
        <x:v>7448.877032520328</x:v>
      </x:c>
      <x:c r="K18" s="30" t="n">
        <x:f>K16-K17</x:f>
        <x:v>9714.975609756098</x:v>
      </x:c>
      <x:c r="L18" s="30" t="n">
        <x:f>L16-L17</x:f>
        <x:v>11981.074186991871</x:v>
      </x:c>
      <x:c r="M18" s="30" t="n">
        <x:f>M16-M17</x:f>
        <x:v>14247.172764227635</x:v>
      </x:c>
      <x:c r="N18" s="37" t="n">
        <x:f>SUM(B18:M18)</x:f>
        <x:v>43252.797764227646</x:v>
      </x:c>
    </x:row>
    <x:row r="19" ht="21" customHeight="1">
      <x:c r="A19" s="4" t="str">
        <x:v>Imposto ilustrativo</x:v>
      </x:c>
      <x:c r="B19" s="30" t="n">
        <x:f>MAX(0,B18)*Pressupostos!$B$19</x:f>
        <x:v>0</x:v>
      </x:c>
      <x:c r="C19" s="30" t="n">
        <x:f>MAX(0,C18)*Pressupostos!$B$19</x:f>
        <x:v>0</x:v>
      </x:c>
      <x:c r="D19" s="30" t="n">
        <x:f>MAX(0,D18)*Pressupostos!$B$19</x:f>
        <x:v>0</x:v>
      </x:c>
      <x:c r="E19" s="30" t="n">
        <x:f>MAX(0,E18)*Pressupostos!$B$19</x:f>
        <x:v>0</x:v>
      </x:c>
      <x:c r="F19" s="30" t="n">
        <x:f>MAX(0,F18)*Pressupostos!$B$19</x:f>
        <x:v>128.9495934959352</x:v>
      </x:c>
      <x:c r="G19" s="30" t="n">
        <x:f>MAX(0,G18)*Pressupostos!$B$19</x:f>
        <x:v>431.48495934959374</x:v>
      </x:c>
      <x:c r="H19" s="30" t="n">
        <x:f>MAX(0,H18)*Pressupostos!$B$19</x:f>
        <x:v>734.0203252032525</x:v>
      </x:c>
      <x:c r="I19" s="30" t="n">
        <x:f>MAX(0,I18)*Pressupostos!$B$19</x:f>
        <x:v>1036.555691056911</x:v>
      </x:c>
      <x:c r="J19" s="30" t="n">
        <x:f>MAX(0,J18)*Pressupostos!$B$19</x:f>
        <x:v>1489.7754065040656</x:v>
      </x:c>
      <x:c r="K19" s="30" t="n">
        <x:f>MAX(0,K18)*Pressupostos!$B$19</x:f>
        <x:v>1942.9951219512197</x:v>
      </x:c>
      <x:c r="L19" s="30" t="n">
        <x:f>MAX(0,L18)*Pressupostos!$B$19</x:f>
        <x:v>2396.214837398374</x:v>
      </x:c>
      <x:c r="M19" s="30" t="n">
        <x:f>MAX(0,M18)*Pressupostos!$B$19</x:f>
        <x:v>2849.434552845527</x:v>
      </x:c>
      <x:c r="N19" s="37" t="n">
        <x:f>SUM(B19:M19)</x:f>
        <x:v>11009.430487804879</x:v>
      </x:c>
    </x:row>
    <x:row r="20" ht="21" customHeight="1">
      <x:c r="A20" s="4" t="str">
        <x:v>Resultado líquido (simplificado)</x:v>
      </x:c>
      <x:c r="B20" s="30" t="n">
        <x:f>B18-B19</x:f>
        <x:v>-4652.537601626015</x:v>
      </x:c>
      <x:c r="C20" s="30" t="n">
        <x:f>C18-C19</x:f>
        <x:v>-3893.2825203252023</x:v>
      </x:c>
      <x:c r="D20" s="30" t="n">
        <x:f>D18-D19</x:f>
        <x:v>-2380.6056910569105</x:v>
      </x:c>
      <x:c r="E20" s="30" t="n">
        <x:f>E18-E19</x:f>
        <x:v>-867.9288617886173</x:v>
      </x:c>
      <x:c r="F20" s="30" t="n">
        <x:f>F18-F19</x:f>
        <x:v>515.7983739837407</x:v>
      </x:c>
      <x:c r="G20" s="30" t="n">
        <x:f>G18-G19</x:f>
        <x:v>1725.939837398375</x:v>
      </x:c>
      <x:c r="H20" s="30" t="n">
        <x:f>H18-H19</x:f>
        <x:v>2936.0813008130094</x:v>
      </x:c>
      <x:c r="I20" s="30" t="n">
        <x:f>I18-I19</x:f>
        <x:v>4146.222764227644</x:v>
      </x:c>
      <x:c r="J20" s="30" t="n">
        <x:f>J18-J19</x:f>
        <x:v>5959.101626016262</x:v>
      </x:c>
      <x:c r="K20" s="30" t="n">
        <x:f>K18-K19</x:f>
        <x:v>7771.980487804879</x:v>
      </x:c>
      <x:c r="L20" s="30" t="n">
        <x:f>L18-L19</x:f>
        <x:v>9584.859349593497</x:v>
      </x:c>
      <x:c r="M20" s="30" t="n">
        <x:f>M18-M19</x:f>
        <x:v>11397.738211382108</x:v>
      </x:c>
      <x:c r="N20" s="37" t="n">
        <x:f>SUM(B20:M20)</x:f>
        <x:v>32243.367276422767</x:v>
      </x:c>
    </x:row>
    <x:row r="21" ht="21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21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 ht="21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 ht="21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RESULTADOS PROJETADOS — 5 ANOS</x:v>
      </x:c>
      <x:c r="B1" s="4"/>
      <x:c r="C1" s="4"/>
      <x:c r="D1" s="4"/>
      <x:c r="E1" s="4"/>
      <x:c r="F1" s="4"/>
    </x:row>
    <x:row r="2" ht="21" customHeight="1">
      <x:c r="A2" s="12" t="str">
        <x:v>Ano 1 ligado às vendas mensais; anos seguintes projetados por drivers editáveis.</x:v>
      </x:c>
      <x:c r="B2" s="4"/>
      <x:c r="C2" s="4"/>
      <x:c r="D2" s="4"/>
      <x:c r="E2" s="4"/>
      <x:c r="F2" s="4"/>
    </x:row>
    <x:row r="3" ht="21" customHeight="1">
      <x:c r="A3" s="4"/>
      <x:c r="B3" s="4"/>
      <x:c r="C3" s="4"/>
      <x:c r="D3" s="4"/>
      <x:c r="E3" s="4"/>
      <x:c r="F3" s="4"/>
    </x:row>
    <x:row r="4" ht="21" customHeight="1">
      <x:c r="A4" s="26" t="str">
        <x:v>Indicador</x:v>
      </x:c>
      <x:c r="B4" s="26" t="str">
        <x:v>Ano 1</x:v>
      </x:c>
      <x:c r="C4" s="26" t="str">
        <x:v>Ano 2</x:v>
      </x:c>
      <x:c r="D4" s="26" t="str">
        <x:v>Ano 3</x:v>
      </x:c>
      <x:c r="E4" s="26" t="str">
        <x:v>Ano 4</x:v>
      </x:c>
      <x:c r="F4" s="26" t="str">
        <x:v>Ano 5</x:v>
      </x:c>
    </x:row>
    <x:row r="5" ht="21" customHeight="1">
      <x:c r="A5" s="4" t="str">
        <x:v>Unidades</x:v>
      </x:c>
      <x:c r="B5" s="33" t="n">
        <x:f>'Vendas 12M'!N5</x:f>
        <x:v>23900</x:v>
      </x:c>
      <x:c r="C5" s="33" t="n">
        <x:f>B5*(1+Pressupostos!B26)</x:f>
        <x:v>31070</x:v>
      </x:c>
      <x:c r="D5" s="33" t="n">
        <x:f>C5*(1+Pressupostos!B27)</x:f>
        <x:v>38216.1</x:v>
      </x:c>
      <x:c r="E5" s="33" t="n">
        <x:f>D5*(1+Pressupostos!B28)</x:f>
        <x:v>44712.83699999999</x:v>
      </x:c>
      <x:c r="F5" s="33" t="n">
        <x:f>E5*(1+Pressupostos!B29)</x:f>
        <x:v>50972.634179999994</x:v>
      </x:c>
    </x:row>
    <x:row r="6" ht="21" customHeight="1">
      <x:c r="A6" s="4" t="str">
        <x:v>Receita média por unidade</x:v>
      </x:c>
      <x:c r="B6" s="30" t="n">
        <x:f>Produtos!B12</x:f>
        <x:v>15.171849593495935</x:v>
      </x:c>
      <x:c r="C6" s="30" t="n">
        <x:f>B6*(1+Pressupostos!$B$23)</x:f>
        <x:v>15.475286585365854</x:v>
      </x:c>
      <x:c r="D6" s="30" t="n">
        <x:f>C6*(1+Pressupostos!$B$23)</x:f>
        <x:v>15.78479231707317</x:v>
      </x:c>
      <x:c r="E6" s="30" t="n">
        <x:f>D6*(1+Pressupostos!$B$23)</x:f>
        <x:v>16.100488163414635</x:v>
      </x:c>
      <x:c r="F6" s="30" t="n">
        <x:f>E6*(1+Pressupostos!$B$23)</x:f>
        <x:v>16.42249792668293</x:v>
      </x:c>
    </x:row>
    <x:row r="7" ht="21" customHeight="1">
      <x:c r="A7" s="4" t="str">
        <x:v>Receita sem IVA</x:v>
      </x:c>
      <x:c r="B7" s="30" t="n">
        <x:f>B5*B6</x:f>
        <x:v>362607.2052845528</x:v>
      </x:c>
      <x:c r="C7" s="30" t="n">
        <x:f>C5*C6</x:f>
        <x:v>480817.1542073171</x:v>
      </x:c>
      <x:c r="D7" s="30" t="n">
        <x:f>D5*D6</x:f>
        <x:v>603233.2016685</x:v>
      </x:c>
      <x:c r="E7" s="30" t="n">
        <x:f>E5*E6</x:f>
        <x:v>719898.5028711879</x:v>
      </x:c>
      <x:c r="F7" s="30" t="n">
        <x:f>F5*F6</x:f>
        <x:v>837097.9791386173</x:v>
      </x:c>
    </x:row>
    <x:row r="8" ht="21" customHeight="1">
      <x:c r="A8" s="4" t="str">
        <x:v>Custo produto / unidade</x:v>
      </x:c>
      <x:c r="B8" s="30" t="n">
        <x:f>Produtos!B13</x:f>
        <x:v>6.145</x:v>
      </x:c>
      <x:c r="C8" s="30" t="n">
        <x:f>B8*(1+Pressupostos!$B$24)</x:f>
        <x:v>6.32935</x:v>
      </x:c>
      <x:c r="D8" s="30" t="n">
        <x:f>C8*(1+Pressupostos!$B$24)</x:f>
        <x:v>6.5192305</x:v>
      </x:c>
      <x:c r="E8" s="30" t="n">
        <x:f>D8*(1+Pressupostos!$B$24)</x:f>
        <x:v>6.714807415</x:v>
      </x:c>
      <x:c r="F8" s="30" t="n">
        <x:f>E8*(1+Pressupostos!$B$24)</x:f>
        <x:v>6.91625163745</x:v>
      </x:c>
    </x:row>
    <x:row r="9" ht="21" customHeight="1">
      <x:c r="A9" s="4" t="str">
        <x:v>Custo total produto</x:v>
      </x:c>
      <x:c r="B9" s="30" t="n">
        <x:f>B5*B8</x:f>
        <x:v>146865.5</x:v>
      </x:c>
      <x:c r="C9" s="30" t="n">
        <x:f>C5*C8</x:f>
        <x:v>196652.9045</x:v>
      </x:c>
      <x:c r="D9" s="30" t="n">
        <x:f>D5*D8</x:f>
        <x:v>249139.56471104998</x:v>
      </x:c>
      <x:c r="E9" s="30" t="n">
        <x:f>E5*E8</x:f>
        <x:v>300238.0894332863</x:v>
      </x:c>
      <x:c r="F9" s="30" t="n">
        <x:f>F5*F8</x:f>
        <x:v>352539.5646125648</x:v>
      </x:c>
    </x:row>
    <x:row r="10" ht="21" customHeight="1">
      <x:c r="A10" s="4" t="str">
        <x:v>Logística / unidade</x:v>
      </x:c>
      <x:c r="B10" s="30" t="n">
        <x:f>Pressupostos!B8</x:f>
        <x:v>1.2</x:v>
      </x:c>
      <x:c r="C10" s="30" t="n">
        <x:f>B10*(1+Pressupostos!$B$24)</x:f>
        <x:v>1.236</x:v>
      </x:c>
      <x:c r="D10" s="30" t="n">
        <x:f>C10*(1+Pressupostos!$B$24)</x:f>
        <x:v>1.27308</x:v>
      </x:c>
      <x:c r="E10" s="30" t="n">
        <x:f>D10*(1+Pressupostos!$B$24)</x:f>
        <x:v>1.3112724</x:v>
      </x:c>
      <x:c r="F10" s="30" t="n">
        <x:f>E10*(1+Pressupostos!$B$24)</x:f>
        <x:v>1.3506105720000001</x:v>
      </x:c>
    </x:row>
    <x:row r="11" ht="21" customHeight="1">
      <x:c r="A11" s="4" t="str">
        <x:v>Custos logística</x:v>
      </x:c>
      <x:c r="B11" s="30" t="n">
        <x:f>B5*B10</x:f>
        <x:v>28680</x:v>
      </x:c>
      <x:c r="C11" s="30" t="n">
        <x:f>C5*C10</x:f>
        <x:v>38402.52</x:v>
      </x:c>
      <x:c r="D11" s="30" t="n">
        <x:f>D5*D10</x:f>
        <x:v>48652.152588</x:v>
      </x:c>
      <x:c r="E11" s="30" t="n">
        <x:f>E5*E10</x:f>
        <x:v>58630.70908379879</x:v>
      </x:c>
      <x:c r="F11" s="30" t="n">
        <x:f>F5*F10</x:f>
        <x:v>68844.17860619655</x:v>
      </x:c>
    </x:row>
    <x:row r="12" ht="21" customHeight="1">
      <x:c r="A12" s="4" t="str">
        <x:v>Taxa de comissão DTC</x:v>
      </x:c>
      <x:c r="B12" s="30" t="n">
        <x:f>Pressupostos!$B$9*Pressupostos!$B$6</x:f>
        <x:v>0.01625</x:v>
      </x:c>
      <x:c r="C12" s="30" t="n">
        <x:f>Pressupostos!$B$9*Pressupostos!$B$6</x:f>
        <x:v>0.01625</x:v>
      </x:c>
      <x:c r="D12" s="30" t="n">
        <x:f>Pressupostos!$B$9*Pressupostos!$B$6</x:f>
        <x:v>0.01625</x:v>
      </x:c>
      <x:c r="E12" s="30" t="n">
        <x:f>Pressupostos!$B$9*Pressupostos!$B$6</x:f>
        <x:v>0.01625</x:v>
      </x:c>
      <x:c r="F12" s="30" t="n">
        <x:f>Pressupostos!$B$9*Pressupostos!$B$6</x:f>
        <x:v>0.01625</x:v>
      </x:c>
    </x:row>
    <x:row r="13" ht="21" customHeight="1">
      <x:c r="A13" s="4" t="str">
        <x:v>Comissões DTC</x:v>
      </x:c>
      <x:c r="B13" s="30" t="n">
        <x:f>B7*Pressupostos!$B$6*Pressupostos!$B$9/(Pressupostos!$B$6+(1-Pressupostos!$B$6)*Pressupostos!$B$7)</x:f>
        <x:v>6993.907520325203</x:v>
      </x:c>
      <x:c r="C13" s="30" t="n">
        <x:f>C7*Pressupostos!$B$6*Pressupostos!$B$9/(Pressupostos!$B$6+(1-Pressupostos!$B$6)*Pressupostos!$B$7)</x:f>
        <x:v>9273.92137195122</x:v>
      </x:c>
      <x:c r="D13" s="30" t="n">
        <x:f>D7*Pressupostos!$B$6*Pressupostos!$B$9/(Pressupostos!$B$6+(1-Pressupostos!$B$6)*Pressupostos!$B$7)</x:f>
        <x:v>11635.06175325</x:v>
      </x:c>
      <x:c r="E13" s="30" t="n">
        <x:f>E7*Pressupostos!$B$6*Pressupostos!$B$9/(Pressupostos!$B$6+(1-Pressupostos!$B$6)*Pressupostos!$B$7)</x:f>
        <x:v>13885.282696328552</x:v>
      </x:c>
      <x:c r="F13" s="30" t="n">
        <x:f>F7*Pressupostos!$B$6*Pressupostos!$B$9/(Pressupostos!$B$6+(1-Pressupostos!$B$6)*Pressupostos!$B$7)</x:f>
        <x:v>16145.806719290838</x:v>
      </x:c>
    </x:row>
    <x:row r="14" ht="21" customHeight="1">
      <x:c r="A14" s="4" t="str">
        <x:v>Margem de contribuição</x:v>
      </x:c>
      <x:c r="B14" s="30" t="n">
        <x:f>B7-B9-B11-B13</x:f>
        <x:v>180067.7977642276</x:v>
      </x:c>
      <x:c r="C14" s="30" t="n">
        <x:f>C7-C9-C11-C13</x:f>
        <x:v>236487.80833536587</x:v>
      </x:c>
      <x:c r="D14" s="30" t="n">
        <x:f>D7-D9-D11-D13</x:f>
        <x:v>293806.42261619994</x:v>
      </x:c>
      <x:c r="E14" s="30" t="n">
        <x:f>E7-E9-E11-E13</x:f>
        <x:v>347144.42165777425</x:v>
      </x:c>
      <x:c r="F14" s="30" t="n">
        <x:f>F7-F9-F11-F13</x:f>
        <x:v>399568.4292005651</x:v>
      </x:c>
    </x:row>
    <x:row r="15" ht="21" customHeight="1">
      <x:c r="A15" s="4" t="str">
        <x:v>Custos fixos</x:v>
      </x:c>
      <x:c r="B15" s="30" t="n">
        <x:f>Pressupostos!$B$10*12</x:f>
        <x:v>126000</x:v>
      </x:c>
      <x:c r="C15" s="30" t="n">
        <x:f>B15*(1+Pressupostos!$B$11)</x:f>
        <x:v>136080</x:v>
      </x:c>
      <x:c r="D15" s="30" t="n">
        <x:f>C15*(1+Pressupostos!$B$11)</x:f>
        <x:v>146966.40000000002</x:v>
      </x:c>
      <x:c r="E15" s="30" t="n">
        <x:f>D15*(1+Pressupostos!$B$11)</x:f>
        <x:v>158723.71200000003</x:v>
      </x:c>
      <x:c r="F15" s="30" t="n">
        <x:f>E15*(1+Pressupostos!$B$11)</x:f>
        <x:v>171421.60896000004</x:v>
      </x:c>
    </x:row>
    <x:row r="16" ht="21" customHeight="1">
      <x:c r="A16" s="6" t="str">
        <x:v>EBITDA</x:v>
      </x:c>
      <x:c r="B16" s="40" t="n">
        <x:f>B14-B15</x:f>
        <x:v>54067.79776422761</x:v>
      </x:c>
      <x:c r="C16" s="40" t="n">
        <x:f>C14-C15</x:f>
        <x:v>100407.80833536587</x:v>
      </x:c>
      <x:c r="D16" s="40" t="n">
        <x:f>D14-D15</x:f>
        <x:v>146840.02261619992</x:v>
      </x:c>
      <x:c r="E16" s="40" t="n">
        <x:f>E14-E15</x:f>
        <x:v>188420.70965777422</x:v>
      </x:c>
      <x:c r="F16" s="40" t="n">
        <x:f>F14-F15</x:f>
        <x:v>228146.82024056505</x:v>
      </x:c>
    </x:row>
    <x:row r="17" ht="21" customHeight="1">
      <x:c r="A17" s="4" t="str">
        <x:v>Depreciações</x:v>
      </x:c>
      <x:c r="B17" s="30" t="n">
        <x:f>Pressupostos!$B$18</x:f>
        <x:v>7000</x:v>
      </x:c>
      <x:c r="C17" s="30" t="n">
        <x:f>Pressupostos!$B$18</x:f>
        <x:v>7000</x:v>
      </x:c>
      <x:c r="D17" s="30" t="n">
        <x:f>Pressupostos!$B$18</x:f>
        <x:v>7000</x:v>
      </x:c>
      <x:c r="E17" s="30" t="n">
        <x:f>Pressupostos!$B$18</x:f>
        <x:v>7000</x:v>
      </x:c>
      <x:c r="F17" s="30" t="n">
        <x:f>Pressupostos!$B$18</x:f>
        <x:v>7000</x:v>
      </x:c>
    </x:row>
    <x:row r="18" ht="21" customHeight="1">
      <x:c r="A18" s="4" t="str">
        <x:v>EBIT</x:v>
      </x:c>
      <x:c r="B18" s="30" t="n">
        <x:f>B16-B17</x:f>
        <x:v>47067.79776422761</x:v>
      </x:c>
      <x:c r="C18" s="30" t="n">
        <x:f>C16-C17</x:f>
        <x:v>93407.80833536587</x:v>
      </x:c>
      <x:c r="D18" s="30" t="n">
        <x:f>D16-D17</x:f>
        <x:v>139840.02261619992</x:v>
      </x:c>
      <x:c r="E18" s="30" t="n">
        <x:f>E16-E17</x:f>
        <x:v>181420.70965777422</x:v>
      </x:c>
      <x:c r="F18" s="30" t="n">
        <x:f>F16-F17</x:f>
        <x:v>221146.82024056505</x:v>
      </x:c>
    </x:row>
    <x:row r="19" ht="21" customHeight="1">
      <x:c r="A19" s="4" t="str">
        <x:v>Imposto operacional hipotético</x:v>
      </x:c>
      <x:c r="B19" s="30" t="n">
        <x:f>MAX(0,B18)*Pressupostos!$B$19</x:f>
        <x:v>9413.559552845521</x:v>
      </x:c>
      <x:c r="C19" s="30" t="n">
        <x:f>MAX(0,C18)*Pressupostos!$B$19</x:f>
        <x:v>18681.561667073176</x:v>
      </x:c>
      <x:c r="D19" s="30" t="n">
        <x:f>MAX(0,D18)*Pressupostos!$B$19</x:f>
        <x:v>27968.004523239986</x:v>
      </x:c>
      <x:c r="E19" s="30" t="n">
        <x:f>MAX(0,E18)*Pressupostos!$B$19</x:f>
        <x:v>36284.14193155485</x:v>
      </x:c>
      <x:c r="F19" s="30" t="n">
        <x:f>MAX(0,F18)*Pressupostos!$B$19</x:f>
        <x:v>44229.36404811301</x:v>
      </x:c>
    </x:row>
    <x:row r="20" ht="21" customHeight="1">
      <x:c r="A20" s="4" t="str">
        <x:v>Resultado operacional após imposto</x:v>
      </x:c>
      <x:c r="B20" s="30" t="n">
        <x:f>B18-B19</x:f>
        <x:v>37654.238211382086</x:v>
      </x:c>
      <x:c r="C20" s="30" t="n">
        <x:f>C18-C19</x:f>
        <x:v>74726.2466682927</x:v>
      </x:c>
      <x:c r="D20" s="30" t="n">
        <x:f>D18-D19</x:f>
        <x:v>111872.01809295993</x:v>
      </x:c>
      <x:c r="E20" s="30" t="n">
        <x:f>E18-E19</x:f>
        <x:v>145136.56772621936</x:v>
      </x:c>
      <x:c r="F20" s="30" t="n">
        <x:f>F18-F19</x:f>
        <x:v>176917.45619245205</x:v>
      </x:c>
    </x:row>
    <x:row r="21" ht="21" customHeight="1">
      <x:c r="A21" s="4" t="str">
        <x:v>Capex manutenção</x:v>
      </x:c>
      <x:c r="B21" s="30" t="n">
        <x:f>Pressupostos!$B$21</x:f>
        <x:v>5000</x:v>
      </x:c>
      <x:c r="C21" s="30" t="n">
        <x:f>Pressupostos!$B$21</x:f>
        <x:v>5000</x:v>
      </x:c>
      <x:c r="D21" s="30" t="n">
        <x:f>Pressupostos!$B$21</x:f>
        <x:v>5000</x:v>
      </x:c>
      <x:c r="E21" s="30" t="n">
        <x:f>Pressupostos!$B$21</x:f>
        <x:v>5000</x:v>
      </x:c>
      <x:c r="F21" s="30" t="n">
        <x:f>Pressupostos!$B$21</x:f>
        <x:v>5000</x:v>
      </x:c>
    </x:row>
    <x:row r="22" ht="21" customHeight="1">
      <x:c r="A22" s="4" t="str">
        <x:v>Variação do fundo de maneio</x:v>
      </x:c>
      <x:c r="B22" s="30" t="n">
        <x:f>0</x:f>
        <x:v>0</x:v>
      </x:c>
      <x:c r="C22" s="30" t="n">
        <x:f>Pressupostos!$B$22</x:f>
        <x:v>8000</x:v>
      </x:c>
      <x:c r="D22" s="30" t="n">
        <x:f>Pressupostos!$B$22</x:f>
        <x:v>8000</x:v>
      </x:c>
      <x:c r="E22" s="30" t="n">
        <x:f>Pressupostos!$B$22</x:f>
        <x:v>8000</x:v>
      </x:c>
      <x:c r="F22" s="30" t="n">
        <x:f>Pressupostos!$B$22</x:f>
        <x:v>8000</x:v>
      </x:c>
    </x:row>
    <x:row r="23" ht="21" customHeight="1">
      <x:c r="A23" s="44" t="str">
        <x:v>Fluxo de caixa livre operacional</x:v>
      </x:c>
      <x:c r="B23" s="45" t="n">
        <x:f>B20+B17-B21-B22</x:f>
        <x:v>39654.238211382086</x:v>
      </x:c>
      <x:c r="C23" s="45" t="n">
        <x:f>C20+C17-C21-C22</x:f>
        <x:v>68726.2466682927</x:v>
      </x:c>
      <x:c r="D23" s="45" t="n">
        <x:f>D20+D17-D21-D22</x:f>
        <x:v>105872.01809295993</x:v>
      </x:c>
      <x:c r="E23" s="45" t="n">
        <x:f>E20+E17-E21-E22</x:f>
        <x:v>139136.56772621936</x:v>
      </x:c>
      <x:c r="F23" s="45" t="n">
        <x:f>F20+F17-F21-F22</x:f>
        <x:v>170917.45619245205</x:v>
      </x:c>
    </x:row>
    <x:row r="24" ht="21" customHeight="1">
      <x:c r="A24" s="4" t="str">
        <x:v>Margem EBITDA</x:v>
      </x:c>
      <x:c r="B24" s="28" t="n">
        <x:f>IFERROR(B16/B7,0)</x:f>
        <x:v>0.14910844841540966</x:v>
      </x:c>
      <x:c r="C24" s="28" t="n">
        <x:f>IFERROR(C16/C7,0)</x:f>
        <x:v>0.20882742526293555</x:v>
      </x:c>
      <x:c r="D24" s="28" t="n">
        <x:f>IFERROR(D16/D7,0)</x:f>
        <x:v>0.24342165220689263</x:v>
      </x:c>
      <x:c r="E24" s="28" t="n">
        <x:f>IFERROR(E16/E7,0)</x:f>
        <x:v>0.26173232602414304</x:v>
      </x:c>
      <x:c r="F24" s="28" t="n">
        <x:f>IFERROR(F16/F7,0)</x:f>
        <x:v>0.27254494208112956</x:v>
      </x:c>
    </x:row>
    <x:row r="25" ht="21" customHeight="1">
      <x:c r="A25" s="4" t="str">
        <x:v>Volume crescimento anual</x:v>
      </x:c>
      <x:c r="B25" s="28" t="n">
        <x:f>0</x:f>
        <x:v>0</x:v>
      </x:c>
      <x:c r="C25" s="28" t="n">
        <x:f>IFERROR(C5/B5-1,0)</x:f>
        <x:v>0.30000000000000004</x:v>
      </x:c>
      <x:c r="D25" s="28" t="n">
        <x:f>IFERROR(D5/C5-1,0)</x:f>
        <x:v>0.22999999999999998</x:v>
      </x:c>
      <x:c r="E25" s="28" t="n">
        <x:f>IFERROR(E5/D5-1,0)</x:f>
        <x:v>0.16999999999999993</x:v>
      </x:c>
      <x:c r="F25" s="28" t="n">
        <x:f>IFERROR(F5/E5-1,0)</x:f>
        <x:v>0.14000000000000012</x:v>
      </x:c>
    </x:row>
    <x:row r="26" ht="21" customHeight="1">
      <x:c r="A26" s="4"/>
      <x:c r="B26" s="4"/>
      <x:c r="C26" s="4"/>
      <x:c r="D26" s="4"/>
      <x:c r="E26" s="4"/>
      <x:c r="F26" s="4"/>
    </x:row>
    <x:row r="27" ht="21" customHeight="1">
      <x:c r="A27" s="4"/>
      <x:c r="B27" s="4"/>
      <x:c r="C27" s="4"/>
      <x:c r="D27" s="4"/>
      <x:c r="E27" s="4"/>
      <x:c r="F27" s="4"/>
    </x:row>
    <x:row r="28" ht="21" customHeight="1">
      <x:c r="A28" s="4"/>
      <x:c r="B28" s="4"/>
      <x:c r="C28" s="4"/>
      <x:c r="D28" s="4"/>
      <x:c r="E28" s="4"/>
      <x:c r="F28" s="4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TESOURARIA DO ANO 1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1" customHeight="1">
      <x:c r="A2" s="12" t="str">
        <x:v>Recebimentos DTC imediatos; grossistas a 30 dias; compras pagas no mês para manter stock.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1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1" customHeight="1">
      <x:c r="A4" s="26" t="str">
        <x:v>Indicador</x:v>
      </x:c>
      <x:c r="B4" s="26" t="str">
        <x:v>Jan</x:v>
      </x:c>
      <x:c r="C4" s="26" t="str">
        <x:v>Fev</x:v>
      </x:c>
      <x:c r="D4" s="26" t="str">
        <x:v>Mar</x:v>
      </x:c>
      <x:c r="E4" s="26" t="str">
        <x:v>Abr</x:v>
      </x:c>
      <x:c r="F4" s="26" t="str">
        <x:v>Mai</x:v>
      </x:c>
      <x:c r="G4" s="26" t="str">
        <x:v>Jun</x:v>
      </x:c>
      <x:c r="H4" s="26" t="str">
        <x:v>Jul</x:v>
      </x:c>
      <x:c r="I4" s="26" t="str">
        <x:v>Ago</x:v>
      </x:c>
      <x:c r="J4" s="26" t="str">
        <x:v>Set</x:v>
      </x:c>
      <x:c r="K4" s="26" t="str">
        <x:v>Out</x:v>
      </x:c>
      <x:c r="L4" s="26" t="str">
        <x:v>Nov</x:v>
      </x:c>
      <x:c r="M4" s="26" t="str">
        <x:v>Dez</x:v>
      </x:c>
      <x:c r="N4" s="26" t="str">
        <x:v>Total/Final</x:v>
      </x:c>
    </x:row>
    <x:row r="5" ht="21" customHeight="1">
      <x:c r="A5" s="4" t="str">
        <x:v>Saldo inicial</x:v>
      </x:c>
      <x:c r="B5" s="30" t="n">
        <x:f>Pressupostos!B14+Pressupostos!B15-Pressupostos!B12-Pressupostos!B13</x:f>
        <x:v>100000</x:v>
      </x:c>
      <x:c r="C5" s="30" t="n">
        <x:f>B16</x:f>
        <x:v>91810.88719512196</x:v>
      </x:c>
      <x:c r="D5" s="30" t="n">
        <x:f>C16</x:f>
        <x:v>87154.28150406505</x:v>
      </x:c>
      <x:c r="E5" s="30" t="n">
        <x:f>D16</x:f>
        <x:v>83663.6961382114</x:v>
      </x:c>
      <x:c r="F5" s="30" t="n">
        <x:f>E16</x:f>
        <x:v>81685.78760162604</x:v>
      </x:c>
      <x:c r="G5" s="30" t="n">
        <x:f>F16</x:f>
        <x:v>81220.55589430896</x:v>
      </x:c>
      <x:c r="H5" s="30" t="n">
        <x:f>G16</x:f>
        <x:v>82268.00101626018</x:v>
      </x:c>
      <x:c r="I5" s="30" t="n">
        <x:f>H16</x:f>
        <x:v>84828.12296747969</x:v>
      </x:c>
      <x:c r="J5" s="30" t="n">
        <x:f>I16</x:f>
        <x:v>88900.9217479675</x:v>
      </x:c>
      <x:c r="K5" s="30" t="n">
        <x:f>J16</x:f>
        <x:v>94893.16260162603</x:v>
      </x:c>
      <x:c r="L5" s="30" t="n">
        <x:f>K16</x:f>
        <x:v>103151.50203252032</x:v>
      </x:c>
      <x:c r="M5" s="30" t="n">
        <x:f>L16</x:f>
        <x:v>113675.94004065041</x:v>
      </x:c>
      <x:c r="N5" s="30" t="n">
        <x:f>B5</x:f>
        <x:v>100000</x:v>
      </x:c>
    </x:row>
    <x:row r="6" ht="21" customHeight="1">
      <x:c r="A6" s="4" t="str">
        <x:v>Recebimentos diretos</x:v>
      </x:c>
      <x:c r="B6" s="30" t="n">
        <x:f>'Vendas 12M'!B6</x:f>
        <x:v>10534.756097560976</x:v>
      </x:c>
      <x:c r="C6" s="30" t="n">
        <x:f>'Vendas 12M'!C6</x:f>
        <x:v>11705.28455284553</x:v>
      </x:c>
      <x:c r="D6" s="30" t="n">
        <x:f>'Vendas 12M'!D6</x:f>
        <x:v>14046.341463414634</x:v>
      </x:c>
      <x:c r="E6" s="30" t="n">
        <x:f>'Vendas 12M'!E6</x:f>
        <x:v>16387.398373983742</x:v>
      </x:c>
      <x:c r="F6" s="30" t="n">
        <x:f>'Vendas 12M'!F6</x:f>
        <x:v>18728.455284552845</x:v>
      </x:c>
      <x:c r="G6" s="30" t="n">
        <x:f>'Vendas 12M'!G6</x:f>
        <x:v>21069.51219512195</x:v>
      </x:c>
      <x:c r="H6" s="30" t="n">
        <x:f>'Vendas 12M'!H6</x:f>
        <x:v>23410.56910569106</x:v>
      </x:c>
      <x:c r="I6" s="30" t="n">
        <x:f>'Vendas 12M'!I6</x:f>
        <x:v>25751.62601626016</x:v>
      </x:c>
      <x:c r="J6" s="30" t="n">
        <x:f>'Vendas 12M'!J6</x:f>
        <x:v>29263.211382113823</x:v>
      </x:c>
      <x:c r="K6" s="30" t="n">
        <x:f>'Vendas 12M'!K6</x:f>
        <x:v>32774.796747967484</x:v>
      </x:c>
      <x:c r="L6" s="30" t="n">
        <x:f>'Vendas 12M'!L6</x:f>
        <x:v>36286.38211382114</x:v>
      </x:c>
      <x:c r="M6" s="30" t="n">
        <x:f>'Vendas 12M'!M6</x:f>
        <x:v>39797.96747967479</x:v>
      </x:c>
      <x:c r="N6" s="30" t="n">
        <x:f>SUM(B6:M6)</x:f>
        <x:v>279756.30081300816</x:v>
      </x:c>
    </x:row>
    <x:row r="7" ht="21" customHeight="1">
      <x:c r="A7" s="4" t="str">
        <x:v>Recebimentos grossistas (30 dias)</x:v>
      </x:c>
      <x:c r="B7" s="30" t="n">
        <x:f>0</x:f>
        <x:v>0</x:v>
      </x:c>
      <x:c r="C7" s="30" t="n">
        <x:f>'Vendas 12M'!B7</x:f>
        <x:v>3119.9085365853657</x:v>
      </x:c>
      <x:c r="D7" s="30" t="n">
        <x:f>'Vendas 12M'!C7</x:f>
        <x:v>3466.5650406504064</x:v>
      </x:c>
      <x:c r="E7" s="30" t="n">
        <x:f>'Vendas 12M'!D7</x:f>
        <x:v>4159.878048780487</x:v>
      </x:c>
      <x:c r="F7" s="30" t="n">
        <x:f>'Vendas 12M'!E7</x:f>
        <x:v>4853.191056910569</x:v>
      </x:c>
      <x:c r="G7" s="30" t="n">
        <x:f>'Vendas 12M'!F7</x:f>
        <x:v>5546.504065040651</x:v>
      </x:c>
      <x:c r="H7" s="30" t="n">
        <x:f>'Vendas 12M'!G7</x:f>
        <x:v>6239.817073170731</x:v>
      </x:c>
      <x:c r="I7" s="30" t="n">
        <x:f>'Vendas 12M'!H7</x:f>
        <x:v>6933.130081300813</x:v>
      </x:c>
      <x:c r="J7" s="30" t="n">
        <x:f>'Vendas 12M'!I7</x:f>
        <x:v>7626.443089430893</x:v>
      </x:c>
      <x:c r="K7" s="30" t="n">
        <x:f>'Vendas 12M'!J7</x:f>
        <x:v>8666.412601626016</x:v>
      </x:c>
      <x:c r="L7" s="30" t="n">
        <x:f>'Vendas 12M'!K7</x:f>
        <x:v>9706.382113821139</x:v>
      </x:c>
      <x:c r="M7" s="30" t="n">
        <x:f>'Vendas 12M'!L7</x:f>
        <x:v>10746.35162601626</x:v>
      </x:c>
      <x:c r="N7" s="30" t="n">
        <x:f>SUM(B7:M7)</x:f>
        <x:v>71064.58333333333</x:v>
      </x:c>
    </x:row>
    <x:row r="8" ht="21" customHeight="1">
      <x:c r="A8" s="4" t="str">
        <x:v>Recebimentos operacionais</x:v>
      </x:c>
      <x:c r="B8" s="30" t="n">
        <x:f>SUM(B6:B7)</x:f>
        <x:v>10534.756097560976</x:v>
      </x:c>
      <x:c r="C8" s="30" t="n">
        <x:f>SUM(C6:C7)</x:f>
        <x:v>14825.193089430895</x:v>
      </x:c>
      <x:c r="D8" s="30" t="n">
        <x:f>SUM(D6:D7)</x:f>
        <x:v>17512.90650406504</x:v>
      </x:c>
      <x:c r="E8" s="30" t="n">
        <x:f>SUM(E6:E7)</x:f>
        <x:v>20547.27642276423</x:v>
      </x:c>
      <x:c r="F8" s="30" t="n">
        <x:f>SUM(F6:F7)</x:f>
        <x:v>23581.646341463413</x:v>
      </x:c>
      <x:c r="G8" s="30" t="n">
        <x:f>SUM(G6:G7)</x:f>
        <x:v>26616.016260162603</x:v>
      </x:c>
      <x:c r="H8" s="30" t="n">
        <x:f>SUM(H6:H7)</x:f>
        <x:v>29650.38617886179</x:v>
      </x:c>
      <x:c r="I8" s="30" t="n">
        <x:f>SUM(I6:I7)</x:f>
        <x:v>32684.756097560974</x:v>
      </x:c>
      <x:c r="J8" s="30" t="n">
        <x:f>SUM(J6:J7)</x:f>
        <x:v>36889.654471544716</x:v>
      </x:c>
      <x:c r="K8" s="30" t="n">
        <x:f>SUM(K6:K7)</x:f>
        <x:v>41441.2093495935</x:v>
      </x:c>
      <x:c r="L8" s="30" t="n">
        <x:f>SUM(L6:L7)</x:f>
        <x:v>45992.764227642285</x:v>
      </x:c>
      <x:c r="M8" s="30" t="n">
        <x:f>SUM(M6:M7)</x:f>
        <x:v>50544.31910569105</x:v>
      </x:c>
      <x:c r="N8" s="30" t="n">
        <x:f>SUM(B8:M8)</x:f>
        <x:v>350820.8841463415</x:v>
      </x:c>
    </x:row>
    <x:row r="9" ht="21" customHeight="1">
      <x:c r="A9" s="4" t="str">
        <x:v>Compras para reposição de stock</x:v>
      </x:c>
      <x:c r="B9" s="30" t="n">
        <x:f>'Vendas 12M'!B9</x:f>
        <x:v>5530.5</x:v>
      </x:c>
      <x:c r="C9" s="30" t="n">
        <x:f>'Vendas 12M'!C9</x:f>
        <x:v>6145</x:v>
      </x:c>
      <x:c r="D9" s="30" t="n">
        <x:f>'Vendas 12M'!D9</x:f>
        <x:v>7373.999999999999</x:v>
      </x:c>
      <x:c r="E9" s="30" t="n">
        <x:f>'Vendas 12M'!E9</x:f>
        <x:v>8603</x:v>
      </x:c>
      <x:c r="F9" s="30" t="n">
        <x:f>'Vendas 12M'!F9</x:f>
        <x:v>9832</x:v>
      </x:c>
      <x:c r="G9" s="30" t="n">
        <x:f>'Vendas 12M'!G9</x:f>
        <x:v>11061</x:v>
      </x:c>
      <x:c r="H9" s="30" t="n">
        <x:f>'Vendas 12M'!H9</x:f>
        <x:v>12290</x:v>
      </x:c>
      <x:c r="I9" s="30" t="n">
        <x:f>'Vendas 12M'!I9</x:f>
        <x:v>13518.999999999998</x:v>
      </x:c>
      <x:c r="J9" s="30" t="n">
        <x:f>'Vendas 12M'!J9</x:f>
        <x:v>15362.499999999998</x:v>
      </x:c>
      <x:c r="K9" s="30" t="n">
        <x:f>'Vendas 12M'!K9</x:f>
        <x:v>17206</x:v>
      </x:c>
      <x:c r="L9" s="30" t="n">
        <x:f>'Vendas 12M'!L9</x:f>
        <x:v>19049.5</x:v>
      </x:c>
      <x:c r="M9" s="30" t="n">
        <x:f>'Vendas 12M'!M9</x:f>
        <x:v>20893</x:v>
      </x:c>
      <x:c r="N9" s="30" t="n">
        <x:f>SUM(B9:M9)</x:f>
        <x:v>146865.5</x:v>
      </x:c>
    </x:row>
    <x:row r="10" ht="21" customHeight="1">
      <x:c r="A10" s="4" t="str">
        <x:v>Logística e comissões</x:v>
      </x:c>
      <x:c r="B10" s="30" t="n">
        <x:f>'Vendas 12M'!B10+'Vendas 12M'!B11</x:f>
        <x:v>1343.3689024390244</x:v>
      </x:c>
      <x:c r="C10" s="30" t="n">
        <x:f>'Vendas 12M'!C10+'Vendas 12M'!C11</x:f>
        <x:v>1492.6321138211383</x:v>
      </x:c>
      <x:c r="D10" s="30" t="n">
        <x:f>'Vendas 12M'!D10+'Vendas 12M'!D11</x:f>
        <x:v>1791.158536585366</x:v>
      </x:c>
      <x:c r="E10" s="30" t="n">
        <x:f>'Vendas 12M'!E10+'Vendas 12M'!E11</x:f>
        <x:v>2089.6849593495936</x:v>
      </x:c>
      <x:c r="F10" s="30" t="n">
        <x:f>'Vendas 12M'!F10+'Vendas 12M'!F11</x:f>
        <x:v>2388.211382113821</x:v>
      </x:c>
      <x:c r="G10" s="30" t="n">
        <x:f>'Vendas 12M'!G10+'Vendas 12M'!G11</x:f>
        <x:v>2686.737804878049</x:v>
      </x:c>
      <x:c r="H10" s="30" t="n">
        <x:f>'Vendas 12M'!H10+'Vendas 12M'!H11</x:f>
        <x:v>2985.2642276422766</x:v>
      </x:c>
      <x:c r="I10" s="30" t="n">
        <x:f>'Vendas 12M'!I10+'Vendas 12M'!I11</x:f>
        <x:v>3283.790650406504</x:v>
      </x:c>
      <x:c r="J10" s="30" t="n">
        <x:f>'Vendas 12M'!J10+'Vendas 12M'!J11</x:f>
        <x:v>3731.5802845528456</x:v>
      </x:c>
      <x:c r="K10" s="30" t="n">
        <x:f>'Vendas 12M'!K10+'Vendas 12M'!K11</x:f>
        <x:v>4179.369918699187</x:v>
      </x:c>
      <x:c r="L10" s="30" t="n">
        <x:f>'Vendas 12M'!L10+'Vendas 12M'!L11</x:f>
        <x:v>4627.159552845529</x:v>
      </x:c>
      <x:c r="M10" s="30" t="n">
        <x:f>'Vendas 12M'!M10+'Vendas 12M'!M11</x:f>
        <x:v>5074.94918699187</x:v>
      </x:c>
      <x:c r="N10" s="30" t="n">
        <x:f>SUM(B10:M10)</x:f>
        <x:v>35673.9075203252</x:v>
      </x:c>
    </x:row>
    <x:row r="11" ht="21" customHeight="1">
      <x:c r="A11" s="4" t="str">
        <x:v>Custos fixos pagos</x:v>
      </x:c>
      <x:c r="B11" s="30" t="n">
        <x:f>Pressupostos!$B$10</x:f>
        <x:v>10500</x:v>
      </x:c>
      <x:c r="C11" s="30" t="n">
        <x:f>Pressupostos!$B$10</x:f>
        <x:v>10500</x:v>
      </x:c>
      <x:c r="D11" s="30" t="n">
        <x:f>Pressupostos!$B$10</x:f>
        <x:v>10500</x:v>
      </x:c>
      <x:c r="E11" s="30" t="n">
        <x:f>Pressupostos!$B$10</x:f>
        <x:v>10500</x:v>
      </x:c>
      <x:c r="F11" s="30" t="n">
        <x:f>Pressupostos!$B$10</x:f>
        <x:v>10500</x:v>
      </x:c>
      <x:c r="G11" s="30" t="n">
        <x:f>Pressupostos!$B$10</x:f>
        <x:v>10500</x:v>
      </x:c>
      <x:c r="H11" s="30" t="n">
        <x:f>Pressupostos!$B$10</x:f>
        <x:v>10500</x:v>
      </x:c>
      <x:c r="I11" s="30" t="n">
        <x:f>Pressupostos!$B$10</x:f>
        <x:v>10500</x:v>
      </x:c>
      <x:c r="J11" s="30" t="n">
        <x:f>Pressupostos!$B$10</x:f>
        <x:v>10500</x:v>
      </x:c>
      <x:c r="K11" s="30" t="n">
        <x:f>Pressupostos!$B$10</x:f>
        <x:v>10500</x:v>
      </x:c>
      <x:c r="L11" s="30" t="n">
        <x:f>Pressupostos!$B$10</x:f>
        <x:v>10500</x:v>
      </x:c>
      <x:c r="M11" s="30" t="n">
        <x:f>Pressupostos!$B$10</x:f>
        <x:v>10500</x:v>
      </x:c>
      <x:c r="N11" s="30" t="n">
        <x:f>SUM(B11:M11)</x:f>
        <x:v>126000</x:v>
      </x:c>
    </x:row>
    <x:row r="12" ht="21" customHeight="1">
      <x:c r="A12" s="4" t="str">
        <x:v>Juros pagos (simulação)</x:v>
      </x:c>
      <x:c r="B12" s="30" t="n">
        <x:f>'Vendas 12M'!B17</x:f>
        <x:v>350</x:v>
      </x:c>
      <x:c r="C12" s="30" t="n">
        <x:f>'Vendas 12M'!C17</x:f>
        <x:v>344.1666666666667</x:v>
      </x:c>
      <x:c r="D12" s="30" t="n">
        <x:f>'Vendas 12M'!D17</x:f>
        <x:v>338.33333333333337</x:v>
      </x:c>
      <x:c r="E12" s="30" t="n">
        <x:f>'Vendas 12M'!E17</x:f>
        <x:v>332.50000000000006</x:v>
      </x:c>
      <x:c r="F12" s="30" t="n">
        <x:f>'Vendas 12M'!F17</x:f>
        <x:v>326.6666666666667</x:v>
      </x:c>
      <x:c r="G12" s="30" t="n">
        <x:f>'Vendas 12M'!G17</x:f>
        <x:v>320.83333333333337</x:v>
      </x:c>
      <x:c r="H12" s="30" t="n">
        <x:f>'Vendas 12M'!H17</x:f>
        <x:v>315.00000000000006</x:v>
      </x:c>
      <x:c r="I12" s="30" t="n">
        <x:f>'Vendas 12M'!I17</x:f>
        <x:v>309.1666666666667</x:v>
      </x:c>
      <x:c r="J12" s="30" t="n">
        <x:f>'Vendas 12M'!J17</x:f>
        <x:v>303.33333333333337</x:v>
      </x:c>
      <x:c r="K12" s="30" t="n">
        <x:f>'Vendas 12M'!K17</x:f>
        <x:v>297.50000000000006</x:v>
      </x:c>
      <x:c r="L12" s="30" t="n">
        <x:f>'Vendas 12M'!L17</x:f>
        <x:v>291.6666666666667</x:v>
      </x:c>
      <x:c r="M12" s="30" t="n">
        <x:f>'Vendas 12M'!M17</x:f>
        <x:v>285.83333333333337</x:v>
      </x:c>
      <x:c r="N12" s="30" t="n">
        <x:f>SUM(B12:M12)</x:f>
        <x:v>3815</x:v>
      </x:c>
    </x:row>
    <x:row r="13" ht="21" customHeight="1">
      <x:c r="A13" s="4" t="str">
        <x:v>Reembolso de capital</x:v>
      </x:c>
      <x:c r="B13" s="30" t="n">
        <x:f>Pressupostos!$B$17/12</x:f>
        <x:v>1000</x:v>
      </x:c>
      <x:c r="C13" s="30" t="n">
        <x:f>Pressupostos!$B$17/12</x:f>
        <x:v>1000</x:v>
      </x:c>
      <x:c r="D13" s="30" t="n">
        <x:f>Pressupostos!$B$17/12</x:f>
        <x:v>1000</x:v>
      </x:c>
      <x:c r="E13" s="30" t="n">
        <x:f>Pressupostos!$B$17/12</x:f>
        <x:v>1000</x:v>
      </x:c>
      <x:c r="F13" s="30" t="n">
        <x:f>Pressupostos!$B$17/12</x:f>
        <x:v>1000</x:v>
      </x:c>
      <x:c r="G13" s="30" t="n">
        <x:f>Pressupostos!$B$17/12</x:f>
        <x:v>1000</x:v>
      </x:c>
      <x:c r="H13" s="30" t="n">
        <x:f>Pressupostos!$B$17/12</x:f>
        <x:v>1000</x:v>
      </x:c>
      <x:c r="I13" s="30" t="n">
        <x:f>Pressupostos!$B$17/12</x:f>
        <x:v>1000</x:v>
      </x:c>
      <x:c r="J13" s="30" t="n">
        <x:f>Pressupostos!$B$17/12</x:f>
        <x:v>1000</x:v>
      </x:c>
      <x:c r="K13" s="30" t="n">
        <x:f>Pressupostos!$B$17/12</x:f>
        <x:v>1000</x:v>
      </x:c>
      <x:c r="L13" s="30" t="n">
        <x:f>Pressupostos!$B$17/12</x:f>
        <x:v>1000</x:v>
      </x:c>
      <x:c r="M13" s="30" t="n">
        <x:f>Pressupostos!$B$17/12</x:f>
        <x:v>1000</x:v>
      </x:c>
      <x:c r="N13" s="30" t="n">
        <x:f>SUM(B13:M13)</x:f>
        <x:v>12000</x:v>
      </x:c>
    </x:row>
    <x:row r="14" ht="21" customHeight="1">
      <x:c r="A14" s="4" t="str">
        <x:v>Imposto operacional ilustrativo</x:v>
      </x:c>
      <x:c r="B14" s="30" t="n">
        <x:f>0</x:f>
        <x:v>0</x:v>
      </x:c>
      <x:c r="C14" s="30" t="n">
        <x:f>0</x:f>
        <x:v>0</x:v>
      </x:c>
      <x:c r="D14" s="30" t="n">
        <x:f>0</x:f>
        <x:v>0</x:v>
      </x:c>
      <x:c r="E14" s="30" t="n">
        <x:f>0</x:f>
        <x:v>0</x:v>
      </x:c>
      <x:c r="F14" s="30" t="n">
        <x:f>0</x:f>
        <x:v>0</x:v>
      </x:c>
      <x:c r="G14" s="30" t="n">
        <x:f>0</x:f>
        <x:v>0</x:v>
      </x:c>
      <x:c r="H14" s="30" t="n">
        <x:f>0</x:f>
        <x:v>0</x:v>
      </x:c>
      <x:c r="I14" s="30" t="n">
        <x:f>0</x:f>
        <x:v>0</x:v>
      </x:c>
      <x:c r="J14" s="30" t="n">
        <x:f>0</x:f>
        <x:v>0</x:v>
      </x:c>
      <x:c r="K14" s="30" t="n">
        <x:f>0</x:f>
        <x:v>0</x:v>
      </x:c>
      <x:c r="L14" s="30" t="n">
        <x:f>0</x:f>
        <x:v>0</x:v>
      </x:c>
      <x:c r="M14" s="30" t="n">
        <x:f>'Resultados 5A'!B19</x:f>
        <x:v>9413.559552845521</x:v>
      </x:c>
      <x:c r="N14" s="30" t="n">
        <x:f>SUM(B14:M14)</x:f>
        <x:v>9413.559552845521</x:v>
      </x:c>
    </x:row>
    <x:row r="15" ht="21" customHeight="1">
      <x:c r="A15" s="4" t="str">
        <x:v>Saídas de caixa</x:v>
      </x:c>
      <x:c r="B15" s="30" t="n">
        <x:f>SUM(B9:B14)</x:f>
        <x:v>18723.868902439026</x:v>
      </x:c>
      <x:c r="C15" s="30" t="n">
        <x:f>SUM(C9:C14)</x:f>
        <x:v>19481.798780487807</x:v>
      </x:c>
      <x:c r="D15" s="30" t="n">
        <x:f>SUM(D9:D14)</x:f>
        <x:v>21003.491869918696</x:v>
      </x:c>
      <x:c r="E15" s="30" t="n">
        <x:f>SUM(E9:E14)</x:f>
        <x:v>22525.184959349594</x:v>
      </x:c>
      <x:c r="F15" s="30" t="n">
        <x:f>SUM(F9:F14)</x:f>
        <x:v>24046.878048780487</x:v>
      </x:c>
      <x:c r="G15" s="30" t="n">
        <x:f>SUM(G9:G14)</x:f>
        <x:v>25568.57113821138</x:v>
      </x:c>
      <x:c r="H15" s="30" t="n">
        <x:f>SUM(H9:H14)</x:f>
        <x:v>27090.264227642278</x:v>
      </x:c>
      <x:c r="I15" s="30" t="n">
        <x:f>SUM(I9:I14)</x:f>
        <x:v>28611.95731707317</x:v>
      </x:c>
      <x:c r="J15" s="30" t="n">
        <x:f>SUM(J9:J14)</x:f>
        <x:v>30897.413617886177</x:v>
      </x:c>
      <x:c r="K15" s="30" t="n">
        <x:f>SUM(K9:K14)</x:f>
        <x:v>33182.86991869919</x:v>
      </x:c>
      <x:c r="L15" s="30" t="n">
        <x:f>SUM(L9:L14)</x:f>
        <x:v>35468.32621951219</x:v>
      </x:c>
      <x:c r="M15" s="30" t="n">
        <x:f>SUM(M9:M14)</x:f>
        <x:v>47167.34207317073</x:v>
      </x:c>
      <x:c r="N15" s="30" t="n">
        <x:f>SUM(B15:M15)</x:f>
        <x:v>333767.9670731707</x:v>
      </x:c>
    </x:row>
    <x:row r="16" ht="21" customHeight="1">
      <x:c r="A16" s="44" t="str">
        <x:v>Saldo final</x:v>
      </x:c>
      <x:c r="B16" s="45" t="n">
        <x:f>B5+B8-B15</x:f>
        <x:v>91810.88719512196</x:v>
      </x:c>
      <x:c r="C16" s="45" t="n">
        <x:f>C5+C8-C15</x:f>
        <x:v>87154.28150406505</x:v>
      </x:c>
      <x:c r="D16" s="45" t="n">
        <x:f>D5+D8-D15</x:f>
        <x:v>83663.6961382114</x:v>
      </x:c>
      <x:c r="E16" s="45" t="n">
        <x:f>E5+E8-E15</x:f>
        <x:v>81685.78760162604</x:v>
      </x:c>
      <x:c r="F16" s="45" t="n">
        <x:f>F5+F8-F15</x:f>
        <x:v>81220.55589430896</x:v>
      </x:c>
      <x:c r="G16" s="45" t="n">
        <x:f>G5+G8-G15</x:f>
        <x:v>82268.00101626018</x:v>
      </x:c>
      <x:c r="H16" s="45" t="n">
        <x:f>H5+H8-H15</x:f>
        <x:v>84828.12296747969</x:v>
      </x:c>
      <x:c r="I16" s="45" t="n">
        <x:f>I5+I8-I15</x:f>
        <x:v>88900.9217479675</x:v>
      </x:c>
      <x:c r="J16" s="45" t="n">
        <x:f>J5+J8-J15</x:f>
        <x:v>94893.16260162603</x:v>
      </x:c>
      <x:c r="K16" s="45" t="n">
        <x:f>K5+K8-K15</x:f>
        <x:v>103151.50203252032</x:v>
      </x:c>
      <x:c r="L16" s="45" t="n">
        <x:f>L5+L8-L15</x:f>
        <x:v>113675.94004065041</x:v>
      </x:c>
      <x:c r="M16" s="45" t="n">
        <x:f>M5+M8-M15</x:f>
        <x:v>117052.91707317074</x:v>
      </x:c>
      <x:c r="N16" s="45" t="n">
        <x:f>M16</x:f>
        <x:v>117052.91707317074</x:v>
      </x:c>
    </x:row>
    <x:row r="17" ht="21" customHeight="1">
      <x:c r="A17" s="4" t="str">
        <x:v>Crédito de clientes (final do mês)</x:v>
      </x:c>
      <x:c r="B17" s="30" t="n">
        <x:f>'Vendas 12M'!B7</x:f>
        <x:v>3119.9085365853657</x:v>
      </x:c>
      <x:c r="C17" s="30" t="n">
        <x:f>'Vendas 12M'!C7</x:f>
        <x:v>3466.5650406504064</x:v>
      </x:c>
      <x:c r="D17" s="30" t="n">
        <x:f>'Vendas 12M'!D7</x:f>
        <x:v>4159.878048780487</x:v>
      </x:c>
      <x:c r="E17" s="30" t="n">
        <x:f>'Vendas 12M'!E7</x:f>
        <x:v>4853.191056910569</x:v>
      </x:c>
      <x:c r="F17" s="30" t="n">
        <x:f>'Vendas 12M'!F7</x:f>
        <x:v>5546.504065040651</x:v>
      </x:c>
      <x:c r="G17" s="30" t="n">
        <x:f>'Vendas 12M'!G7</x:f>
        <x:v>6239.817073170731</x:v>
      </x:c>
      <x:c r="H17" s="30" t="n">
        <x:f>'Vendas 12M'!H7</x:f>
        <x:v>6933.130081300813</x:v>
      </x:c>
      <x:c r="I17" s="30" t="n">
        <x:f>'Vendas 12M'!I7</x:f>
        <x:v>7626.443089430893</x:v>
      </x:c>
      <x:c r="J17" s="30" t="n">
        <x:f>'Vendas 12M'!J7</x:f>
        <x:v>8666.412601626016</x:v>
      </x:c>
      <x:c r="K17" s="30" t="n">
        <x:f>'Vendas 12M'!K7</x:f>
        <x:v>9706.382113821139</x:v>
      </x:c>
      <x:c r="L17" s="30" t="n">
        <x:f>'Vendas 12M'!L7</x:f>
        <x:v>10746.35162601626</x:v>
      </x:c>
      <x:c r="M17" s="30" t="n">
        <x:f>'Vendas 12M'!M7</x:f>
        <x:v>11786.32113821138</x:v>
      </x:c>
      <x:c r="N17" s="30" t="n">
        <x:f>M17</x:f>
        <x:v>11786.32113821138</x:v>
      </x:c>
    </x:row>
    <x:row r="18" ht="21" customHeight="1">
      <x:c r="A18" s="4" t="str">
        <x:v>Stock mantido (valor contabilístico simpl.)</x:v>
      </x:c>
      <x:c r="B18" s="30" t="n">
        <x:f>Pressupostos!$B$12</x:f>
        <x:v>45000</x:v>
      </x:c>
      <x:c r="C18" s="30" t="n">
        <x:f>Pressupostos!$B$12</x:f>
        <x:v>45000</x:v>
      </x:c>
      <x:c r="D18" s="30" t="n">
        <x:f>Pressupostos!$B$12</x:f>
        <x:v>45000</x:v>
      </x:c>
      <x:c r="E18" s="30" t="n">
        <x:f>Pressupostos!$B$12</x:f>
        <x:v>45000</x:v>
      </x:c>
      <x:c r="F18" s="30" t="n">
        <x:f>Pressupostos!$B$12</x:f>
        <x:v>45000</x:v>
      </x:c>
      <x:c r="G18" s="30" t="n">
        <x:f>Pressupostos!$B$12</x:f>
        <x:v>45000</x:v>
      </x:c>
      <x:c r="H18" s="30" t="n">
        <x:f>Pressupostos!$B$12</x:f>
        <x:v>45000</x:v>
      </x:c>
      <x:c r="I18" s="30" t="n">
        <x:f>Pressupostos!$B$12</x:f>
        <x:v>45000</x:v>
      </x:c>
      <x:c r="J18" s="30" t="n">
        <x:f>Pressupostos!$B$12</x:f>
        <x:v>45000</x:v>
      </x:c>
      <x:c r="K18" s="30" t="n">
        <x:f>Pressupostos!$B$12</x:f>
        <x:v>45000</x:v>
      </x:c>
      <x:c r="L18" s="30" t="n">
        <x:f>Pressupostos!$B$12</x:f>
        <x:v>45000</x:v>
      </x:c>
      <x:c r="M18" s="30" t="n">
        <x:f>Pressupostos!$B$12</x:f>
        <x:v>45000</x:v>
      </x:c>
      <x:c r="N18" s="30" t="n">
        <x:f>M18</x:f>
        <x:v>45000</x:v>
      </x:c>
    </x:row>
    <x:row r="19" ht="21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 ht="21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 ht="21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21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SENSIBILIDADE — ANO 1</x:v>
      </x:c>
      <x:c r="B1" s="4"/>
      <x:c r="C1" s="4"/>
      <x:c r="D1" s="4"/>
    </x:row>
    <x:row r="2" ht="21" customHeight="1">
      <x:c r="A2" s="12" t="str">
        <x:v>Cenários alteram volume e preço; custos por unidade mantidos para isolar impacto.</x:v>
      </x:c>
      <x:c r="B2" s="4"/>
      <x:c r="C2" s="4"/>
      <x:c r="D2" s="4"/>
    </x:row>
    <x:row r="3" ht="21" customHeight="1">
      <x:c r="A3" s="4"/>
      <x:c r="B3" s="4"/>
      <x:c r="C3" s="4"/>
      <x:c r="D3" s="4"/>
    </x:row>
    <x:row r="4" ht="21" customHeight="1">
      <x:c r="A4" s="26" t="str">
        <x:v>Indicador</x:v>
      </x:c>
      <x:c r="B4" s="26" t="str">
        <x:v>Conservador</x:v>
      </x:c>
      <x:c r="C4" s="26" t="str">
        <x:v>Base</x:v>
      </x:c>
      <x:c r="D4" s="26" t="str">
        <x:v>Otimista</x:v>
      </x:c>
    </x:row>
    <x:row r="5" ht="21" customHeight="1">
      <x:c r="A5" s="4" t="str">
        <x:v>Variação volume</x:v>
      </x:c>
      <x:c r="B5" s="48" t="n">
        <x:v>-0.2</x:v>
      </x:c>
      <x:c r="C5" s="48" t="n">
        <x:v>0</x:v>
      </x:c>
      <x:c r="D5" s="48" t="n">
        <x:v>0.2</x:v>
      </x:c>
    </x:row>
    <x:row r="6" ht="21" customHeight="1">
      <x:c r="A6" s="4" t="str">
        <x:v>Variação preço médio</x:v>
      </x:c>
      <x:c r="B6" s="48" t="n">
        <x:v>-0.05</x:v>
      </x:c>
      <x:c r="C6" s="48" t="n">
        <x:v>0</x:v>
      </x:c>
      <x:c r="D6" s="48" t="n">
        <x:v>0.03</x:v>
      </x:c>
    </x:row>
    <x:row r="7" ht="21" customHeight="1">
      <x:c r="A7" s="4"/>
      <x:c r="B7" s="4"/>
      <x:c r="C7" s="4"/>
      <x:c r="D7" s="4"/>
    </x:row>
    <x:row r="8" ht="21" customHeight="1">
      <x:c r="A8" s="4" t="str">
        <x:v>Unidades vendidas</x:v>
      </x:c>
      <x:c r="B8" s="4" t="n">
        <x:f>'Resultados 5A'!B5*(1+B5)</x:f>
        <x:v>19120</x:v>
      </x:c>
      <x:c r="C8" s="4" t="n">
        <x:f>'Resultados 5A'!B5*(1+C5)</x:f>
        <x:v>23900</x:v>
      </x:c>
      <x:c r="D8" s="4" t="n">
        <x:f>'Resultados 5A'!B5*(1+D5)</x:f>
        <x:v>28680</x:v>
      </x:c>
    </x:row>
    <x:row r="9" ht="21" customHeight="1">
      <x:c r="A9" s="4" t="str">
        <x:v>Receita sem IVA</x:v>
      </x:c>
      <x:c r="B9" s="30" t="n">
        <x:f>B8*'Resultados 5A'!B6*(1+B6)</x:f>
        <x:v>275581.47601626016</x:v>
      </x:c>
      <x:c r="C9" s="30" t="n">
        <x:f>C8*'Resultados 5A'!B6*(1+C6)</x:f>
        <x:v>362607.2052845528</x:v>
      </x:c>
      <x:c r="D9" s="30" t="n">
        <x:f>D8*'Resultados 5A'!B6*(1+D6)</x:f>
        <x:v>448182.5057317073</x:v>
      </x:c>
    </x:row>
    <x:row r="10" ht="21" customHeight="1">
      <x:c r="A10" s="4" t="str">
        <x:v>Custos variáveis produto + logística</x:v>
      </x:c>
      <x:c r="B10" s="30" t="n">
        <x:f>B8*('Resultados 5A'!B8+'Resultados 5A'!B10)</x:f>
        <x:v>140436.4</x:v>
      </x:c>
      <x:c r="C10" s="30" t="n">
        <x:f>C8*('Resultados 5A'!B8+'Resultados 5A'!B10)</x:f>
        <x:v>175545.5</x:v>
      </x:c>
      <x:c r="D10" s="30" t="n">
        <x:f>D8*('Resultados 5A'!B8+'Resultados 5A'!B10)</x:f>
        <x:v>210654.6</x:v>
      </x:c>
    </x:row>
    <x:row r="11" ht="21" customHeight="1">
      <x:c r="A11" s="4" t="str">
        <x:v>Comissões DTC</x:v>
      </x:c>
      <x:c r="B11" s="30" t="n">
        <x:f>B9*'Resultados 5A'!B12/(Pressupostos!$B$6+(1-Pressupostos!$B$6)*Pressupostos!$B$7)</x:f>
        <x:v>5315.369715447154</x:v>
      </x:c>
      <x:c r="C11" s="30" t="n">
        <x:f>C9*'Resultados 5A'!B12/(Pressupostos!$B$6+(1-Pressupostos!$B$6)*Pressupostos!$B$7)</x:f>
        <x:v>6993.907520325202</x:v>
      </x:c>
      <x:c r="D11" s="30" t="n">
        <x:f>D9*'Resultados 5A'!B12/(Pressupostos!$B$6+(1-Pressupostos!$B$6)*Pressupostos!$B$7)</x:f>
        <x:v>8644.469695121952</x:v>
      </x:c>
    </x:row>
    <x:row r="12" ht="21" customHeight="1">
      <x:c r="A12" s="4" t="str">
        <x:v>Contribuição</x:v>
      </x:c>
      <x:c r="B12" s="30" t="n">
        <x:f>B9-B10-B11</x:f>
        <x:v>129829.706300813</x:v>
      </x:c>
      <x:c r="C12" s="30" t="n">
        <x:f>C9-C10-C11</x:f>
        <x:v>180067.7977642276</x:v>
      </x:c>
      <x:c r="D12" s="30" t="n">
        <x:f>D9-D10-D11</x:f>
        <x:v>228883.43603658536</x:v>
      </x:c>
    </x:row>
    <x:row r="13" ht="21" customHeight="1">
      <x:c r="A13" s="4" t="str">
        <x:v>Custos fixos</x:v>
      </x:c>
      <x:c r="B13" s="30" t="n">
        <x:f>'Resultados 5A'!B15</x:f>
        <x:v>126000</x:v>
      </x:c>
      <x:c r="C13" s="30" t="n">
        <x:f>'Resultados 5A'!B15</x:f>
        <x:v>126000</x:v>
      </x:c>
      <x:c r="D13" s="30" t="n">
        <x:f>'Resultados 5A'!B15</x:f>
        <x:v>126000</x:v>
      </x:c>
    </x:row>
    <x:row r="14" ht="21" customHeight="1">
      <x:c r="A14" s="44" t="str">
        <x:v>EBITDA</x:v>
      </x:c>
      <x:c r="B14" s="45" t="n">
        <x:f>B12-B13</x:f>
        <x:v>3829.7063008130062</x:v>
      </x:c>
      <x:c r="C14" s="45" t="n">
        <x:f>C12-C13</x:f>
        <x:v>54067.79776422761</x:v>
      </x:c>
      <x:c r="D14" s="45" t="n">
        <x:f>D12-D13</x:f>
        <x:v>102883.43603658536</x:v>
      </x:c>
    </x:row>
    <x:row r="15" ht="21" customHeight="1">
      <x:c r="A15" s="4" t="str">
        <x:v>Margem EBITDA</x:v>
      </x:c>
      <x:c r="B15" s="28" t="n">
        <x:f>IFERROR(B14/B9,0)</x:f>
        <x:v>0.013896820483634545</x:v>
      </x:c>
      <x:c r="C15" s="28" t="n">
        <x:f>IFERROR(C14/C9,0)</x:f>
        <x:v>0.14910844841540966</x:v>
      </x:c>
      <x:c r="D15" s="28" t="n">
        <x:f>IFERROR(D14/D9,0)</x:f>
        <x:v>0.22955701019301683</x:v>
      </x:c>
    </x:row>
    <x:row r="16" ht="21" customHeight="1">
      <x:c r="A16" s="4"/>
      <x:c r="B16" s="4"/>
      <x:c r="C16" s="4"/>
      <x:c r="D16" s="4"/>
    </x:row>
    <x:row r="17" ht="21" customHeight="1">
      <x:c r="A17" s="4"/>
      <x:c r="B17" s="4"/>
      <x:c r="C17" s="4"/>
      <x:c r="D17" s="4"/>
    </x:row>
    <x:row r="18" ht="21" customHeight="1">
      <x:c r="A18" s="4"/>
      <x:c r="B18" s="4"/>
      <x:c r="C18" s="4"/>
      <x:c r="D18" s="4"/>
    </x:row>
    <x:row r="19" ht="21" customHeight="1">
      <x:c r="A19" s="4"/>
      <x:c r="B19" s="4"/>
      <x:c r="C19" s="4"/>
      <x:c r="D19" s="4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VIABILIDADE DO INVESTIMENTO</x:v>
      </x:c>
      <x:c r="B1" s="4"/>
      <x:c r="C1" s="4"/>
      <x:c r="D1" s="4"/>
      <x:c r="E1" s="4"/>
      <x:c r="F1" s="4"/>
      <x:c r="G1" s="4"/>
    </x:row>
    <x:row r="2" ht="21" customHeight="1">
      <x:c r="A2" s="12" t="str">
        <x:v>Avaliação do projeto sem alavancagem: investimento inicial = capex + stock; sem valor terminal.</x:v>
      </x:c>
      <x:c r="B2" s="4"/>
      <x:c r="C2" s="4"/>
      <x:c r="D2" s="4"/>
      <x:c r="E2" s="4"/>
      <x:c r="F2" s="4"/>
      <x:c r="G2" s="4"/>
    </x:row>
    <x:row r="3" ht="21" customHeight="1">
      <x:c r="A3" s="4"/>
      <x:c r="B3" s="4"/>
      <x:c r="C3" s="4"/>
      <x:c r="D3" s="4"/>
      <x:c r="E3" s="4"/>
      <x:c r="F3" s="4"/>
      <x:c r="G3" s="4"/>
    </x:row>
    <x:row r="4" ht="21" customHeight="1">
      <x:c r="A4" s="26" t="str">
        <x:v>Indicador</x:v>
      </x:c>
      <x:c r="B4" s="26" t="str">
        <x:v>Ano 0</x:v>
      </x:c>
      <x:c r="C4" s="26" t="str">
        <x:v>Ano 1</x:v>
      </x:c>
      <x:c r="D4" s="26" t="str">
        <x:v>Ano 2</x:v>
      </x:c>
      <x:c r="E4" s="26" t="str">
        <x:v>Ano 3</x:v>
      </x:c>
      <x:c r="F4" s="26" t="str">
        <x:v>Ano 4</x:v>
      </x:c>
      <x:c r="G4" s="26" t="str">
        <x:v>Ano 5</x:v>
      </x:c>
    </x:row>
    <x:row r="5" ht="21" customHeight="1">
      <x:c r="A5" s="4" t="str">
        <x:v>Fluxo de caixa livre do projeto</x:v>
      </x:c>
      <x:c r="B5" s="30" t="n">
        <x:f>-(Pressupostos!B12+Pressupostos!B13)</x:f>
        <x:v>-80000</x:v>
      </x:c>
      <x:c r="C5" s="30" t="n">
        <x:f>'Resultados 5A'!B23</x:f>
        <x:v>39654.238211382086</x:v>
      </x:c>
      <x:c r="D5" s="30" t="n">
        <x:f>'Resultados 5A'!C23</x:f>
        <x:v>68726.2466682927</x:v>
      </x:c>
      <x:c r="E5" s="30" t="n">
        <x:f>'Resultados 5A'!D23</x:f>
        <x:v>105872.01809295993</x:v>
      </x:c>
      <x:c r="F5" s="30" t="n">
        <x:f>'Resultados 5A'!E23</x:f>
        <x:v>139136.56772621936</x:v>
      </x:c>
      <x:c r="G5" s="30" t="n">
        <x:f>'Resultados 5A'!F23</x:f>
        <x:v>170917.45619245205</x:v>
      </x:c>
    </x:row>
    <x:row r="6" ht="21" customHeight="1">
      <x:c r="A6" s="4"/>
      <x:c r="B6" s="4"/>
      <x:c r="C6" s="4"/>
      <x:c r="D6" s="4"/>
      <x:c r="E6" s="4"/>
      <x:c r="F6" s="4"/>
      <x:c r="G6" s="4"/>
    </x:row>
    <x:row r="7" ht="21" customHeight="1">
      <x:c r="A7" s="4" t="str">
        <x:v>Taxa de desconto</x:v>
      </x:c>
      <x:c r="B7" s="28" t="n">
        <x:f>Pressupostos!B20</x:f>
        <x:v>0.12</x:v>
      </x:c>
      <x:c r="C7" s="4"/>
      <x:c r="D7" s="4"/>
      <x:c r="E7" s="4"/>
      <x:c r="F7" s="4"/>
      <x:c r="G7" s="4"/>
    </x:row>
    <x:row r="8" ht="21" customHeight="1">
      <x:c r="A8" s="4" t="str">
        <x:v>VAL (5 anos, sem terminal)</x:v>
      </x:c>
      <x:c r="B8" s="30" t="n">
        <x:f>NPV(B7,C5:G5)+B5</x:f>
        <x:v>270958.2830892433</x:v>
      </x:c>
      <x:c r="C8" s="4"/>
      <x:c r="D8" s="4"/>
      <x:c r="E8" s="4"/>
      <x:c r="F8" s="4"/>
      <x:c r="G8" s="4"/>
    </x:row>
    <x:row r="9" ht="21" customHeight="1">
      <x:c r="A9" s="4" t="str">
        <x:v>TIR (5 anos, sem terminal)</x:v>
      </x:c>
      <x:c r="B9" s="28" t="n">
        <x:f>IRR(B5:G5)</x:f>
        <x:v>0.831785385849976</x:v>
      </x:c>
      <x:c r="C9" s="4"/>
      <x:c r="D9" s="4"/>
      <x:c r="E9" s="4"/>
      <x:c r="F9" s="4"/>
      <x:c r="G9" s="4"/>
    </x:row>
    <x:row r="10" ht="21" customHeight="1">
      <x:c r="A10" s="4" t="str">
        <x:v>Investimento utilizado na avaliação</x:v>
      </x:c>
      <x:c r="B10" s="30" t="n">
        <x:f>-(B5)</x:f>
        <x:v>80000</x:v>
      </x:c>
      <x:c r="C10" s="4"/>
      <x:c r="D10" s="4"/>
      <x:c r="E10" s="4"/>
      <x:c r="F10" s="4"/>
      <x:c r="G10" s="4"/>
    </x:row>
    <x:row r="11" ht="21" customHeight="1">
      <x:c r="A11" s="4" t="str">
        <x:v>Financiamento inicial total</x:v>
      </x:c>
      <x:c r="B11" s="30" t="n">
        <x:f>Pressupostos!B14+Pressupostos!B15</x:f>
        <x:v>180000</x:v>
      </x:c>
      <x:c r="C11" s="4"/>
      <x:c r="D11" s="4"/>
      <x:c r="E11" s="4"/>
      <x:c r="F11" s="4"/>
      <x:c r="G11" s="4"/>
    </x:row>
    <x:row r="12" ht="21" customHeight="1">
      <x:c r="A12" s="4" t="str">
        <x:v>Reserva de liquidez após capex e stock</x:v>
      </x:c>
      <x:c r="B12" s="30" t="n">
        <x:f>B11-B10</x:f>
        <x:v>100000</x:v>
      </x:c>
      <x:c r="C12" s="4"/>
      <x:c r="D12" s="4"/>
      <x:c r="E12" s="4"/>
      <x:c r="F12" s="4"/>
      <x:c r="G12" s="4"/>
    </x:row>
    <x:row r="13" ht="21" customHeight="1">
      <x:c r="A13" s="4" t="str">
        <x:v>Ponto crítico unidades / ano 1</x:v>
      </x:c>
      <x:c r="B13" s="4" t="n">
        <x:f>'Resultados 5A'!B15/(Produtos!B16)</x:f>
        <x:v>16723.70094703433</x:v>
      </x:c>
      <x:c r="C13" s="4"/>
      <x:c r="D13" s="4"/>
      <x:c r="E13" s="4"/>
      <x:c r="F13" s="4"/>
      <x:c r="G13" s="4"/>
    </x:row>
    <x:row r="14" ht="21" customHeight="1">
      <x:c r="A14" s="4" t="str">
        <x:v>Ponto crítico faturação / ano 1</x:v>
      </x:c>
      <x:c r="B14" s="30" t="n">
        <x:f>B13*Produtos!B12</x:f>
        <x:v>253729.47541501038</x:v>
      </x:c>
      <x:c r="C14" s="4"/>
      <x:c r="D14" s="4"/>
      <x:c r="E14" s="4"/>
      <x:c r="F14" s="4"/>
      <x:c r="G14" s="4"/>
    </x:row>
    <x:row r="15" ht="21" customHeight="1">
      <x:c r="A15" s="4"/>
      <x:c r="B15" s="4"/>
      <x:c r="C15" s="4"/>
      <x:c r="D15" s="4"/>
      <x:c r="E15" s="4"/>
      <x:c r="F15" s="4"/>
      <x:c r="G15" s="4"/>
    </x:row>
    <x:row r="16" ht="21" customHeight="1">
      <x:c r="A16" s="4" t="str">
        <x:v>Fluxos acumulados</x:v>
      </x:c>
      <x:c r="B16" s="30" t="n">
        <x:f>SUM($B$5:B5)</x:f>
        <x:v>-80000</x:v>
      </x:c>
      <x:c r="C16" s="30" t="n">
        <x:f>SUM($B$5:C5)</x:f>
        <x:v>-40345.761788617914</x:v>
      </x:c>
      <x:c r="D16" s="30" t="n">
        <x:f>SUM($B$5:D5)</x:f>
        <x:v>28380.48487967479</x:v>
      </x:c>
      <x:c r="E16" s="30" t="n">
        <x:f>SUM($B$5:E5)</x:f>
        <x:v>134252.5029726347</x:v>
      </x:c>
      <x:c r="F16" s="30" t="n">
        <x:f>SUM($B$5:F5)</x:f>
        <x:v>273389.07069885405</x:v>
      </x:c>
      <x:c r="G16" s="30" t="n">
        <x:f>SUM($B$5:G5)</x:f>
        <x:v>444306.5268913061</x:v>
      </x:c>
    </x:row>
    <x:row r="17" ht="21" customHeight="1">
      <x:c r="A17" s="4"/>
      <x:c r="B17" s="4"/>
      <x:c r="C17" s="4"/>
      <x:c r="D17" s="4"/>
      <x:c r="E17" s="4"/>
      <x:c r="F17" s="4"/>
      <x:c r="G17" s="4"/>
    </x:row>
    <x:row r="18" ht="35" customHeight="1">
      <x:c r="A18" s="50" t="str">
        <x:v>Nota: VAL/TIR representam projeção matemática, não recomendação de investimento.</x:v>
      </x:c>
      <x:c r="B18" s="50"/>
      <x:c r="C18" s="50"/>
      <x:c r="D18" s="50"/>
      <x:c r="E18" s="50"/>
      <x:c r="F18" s="50"/>
      <x:c r="G18" s="50"/>
    </x:row>
    <x:row r="19" ht="35" customHeight="1">
      <x:c r="A19" s="50" t="str">
        <x:v>Taxa de imposto é um parâmetro didático, não uma taxa legal confirmada.</x:v>
      </x:c>
      <x:c r="B19" s="50"/>
      <x:c r="C19" s="50"/>
      <x:c r="D19" s="50"/>
      <x:c r="E19" s="50"/>
      <x:c r="F19" s="50"/>
      <x:c r="G19" s="50"/>
    </x:row>
    <x:row r="20" ht="35" customHeight="1">
      <x:c r="A20" s="50" t="str">
        <x:v>Não há valor de revenda, recuperação de stock ou terminal no cálculo.</x:v>
      </x:c>
      <x:c r="B20" s="50"/>
      <x:c r="C20" s="50"/>
      <x:c r="D20" s="50"/>
      <x:c r="E20" s="50"/>
      <x:c r="F20" s="50"/>
      <x:c r="G20" s="50"/>
    </x:row>
    <x:row r="21" ht="21" customHeight="1">
      <x:c r="A21" s="4"/>
      <x:c r="B21" s="4"/>
      <x:c r="C21" s="4"/>
      <x:c r="D21" s="4"/>
      <x:c r="E21" s="4"/>
      <x:c r="F21" s="4"/>
      <x:c r="G21" s="4"/>
    </x:row>
    <x:row r="22" ht="21" customHeight="1">
      <x:c r="A22" s="4"/>
      <x:c r="B22" s="4"/>
      <x:c r="C22" s="4"/>
      <x:c r="D22" s="4"/>
      <x:c r="E22" s="4"/>
      <x:c r="F22" s="4"/>
      <x:c r="G22" s="4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1" customHeight="1">
      <x:c r="A1" s="10" t="str">
        <x:v>NATIVA | GUIA DE UTILIZAÇÃO DO EXCEL</x:v>
      </x:c>
      <x:c r="B1" s="4"/>
      <x:c r="C1" s="4"/>
      <x:c r="D1" s="4"/>
    </x:row>
    <x:row r="2" ht="21" customHeight="1">
      <x:c r="A2" s="12" t="str">
        <x:v>Versão 1.0 · 3 novembro 2026 · Luís Valente 360°</x:v>
      </x:c>
      <x:c r="B2" s="4"/>
      <x:c r="C2" s="4"/>
      <x:c r="D2" s="4"/>
    </x:row>
    <x:row r="3" ht="21" customHeight="1">
      <x:c r="A3" s="4"/>
      <x:c r="B3" s="4"/>
      <x:c r="C3" s="4"/>
      <x:c r="D3" s="4"/>
    </x:row>
    <x:row r="4" ht="48" customHeight="1">
      <x:c r="A4" s="4" t="str">
        <x:v>1. Finalidade</x:v>
      </x:c>
      <x:c r="B4" s="50" t="str">
        <x:v>Apoiar a compreensão de um plano de negócios fictício. Não utilizar como previsão de uma empresa real.</x:v>
      </x:c>
      <x:c r="C4" s="4"/>
      <x:c r="D4" s="4"/>
    </x:row>
    <x:row r="5" ht="48" customHeight="1">
      <x:c r="A5" s="4" t="str">
        <x:v>2. Edição</x:v>
      </x:c>
      <x:c r="B5" s="50" t="str">
        <x:v>Editar as células azuis: volumes, preços, mix, custos, financiamento, crescimento e taxas.</x:v>
      </x:c>
      <x:c r="C5" s="4"/>
      <x:c r="D5" s="4"/>
    </x:row>
    <x:row r="6" ht="48" customHeight="1">
      <x:c r="A6" s="4" t="str">
        <x:v>3. Dependências</x:v>
      </x:c>
      <x:c r="B6" s="50" t="str">
        <x:v>Pressupostos → Produtos → Vendas 12M → Resultados 5A → Viabilidade, Tesouraria, Cenários e Painel.</x:v>
      </x:c>
      <x:c r="C6" s="4"/>
      <x:c r="D6" s="4"/>
    </x:row>
    <x:row r="7" ht="48" customHeight="1">
      <x:c r="A7" s="4" t="str">
        <x:v>4. IVA</x:v>
      </x:c>
      <x:c r="B7" s="50" t="str">
        <x:v>Preços PVP incluem IVA ilustrativo. Demonstrações de resultados usam receitas sem IVA. O ficheiro não modela liquidações reais de IVA.</x:v>
      </x:c>
      <x:c r="C7" s="4"/>
      <x:c r="D7" s="4"/>
    </x:row>
    <x:row r="8" ht="48" customHeight="1">
      <x:c r="A8" s="4" t="str">
        <x:v>5. Tesouraria</x:v>
      </x:c>
      <x:c r="B8" s="50" t="str">
        <x:v>DTC à vista; canal grossista com recebimento no mês seguinte; compras repõem o stock ao custo e pagam no mês.</x:v>
      </x:c>
      <x:c r="C8" s="4"/>
      <x:c r="D8" s="4"/>
    </x:row>
    <x:row r="9" ht="48" customHeight="1">
      <x:c r="A9" s="4" t="str">
        <x:v>6. Fiscalidade</x:v>
      </x:c>
      <x:c r="B9" s="50" t="str">
        <x:v>Taxa de imposto de 20% é hipótese simplificada. Não é aconselhamento fiscal ou interpretação legal.</x:v>
      </x:c>
      <x:c r="C9" s="4"/>
      <x:c r="D9" s="4"/>
    </x:row>
    <x:row r="10" ht="48" customHeight="1">
      <x:c r="A10" s="4" t="str">
        <x:v>7. Viabilidade</x:v>
      </x:c>
      <x:c r="B10" s="50" t="str">
        <x:v>VAL e TIR utilizam fluxos operacionais sem financiamento, horizonte 5 anos e sem valor terminal.</x:v>
      </x:c>
      <x:c r="C10" s="4"/>
      <x:c r="D10" s="4"/>
    </x:row>
    <x:row r="11" ht="48" customHeight="1">
      <x:c r="A11" s="4" t="str">
        <x:v>8. Cenários</x:v>
      </x:c>
      <x:c r="B11" s="50" t="str">
        <x:v>Análise univariada/composta de preço e volume; não é previsão probabilística.</x:v>
      </x:c>
      <x:c r="C11" s="4"/>
      <x:c r="D11" s="4"/>
    </x:row>
    <x:row r="12" ht="48" customHeight="1">
      <x:c r="A12" s="4" t="str">
        <x:v>9. Limitações</x:v>
      </x:c>
      <x:c r="B12" s="50" t="str">
        <x:v>Não inclui IVA efetivo de caixa, crédito de fornecedores, devoluções, necessidades reais de stock ou sazonalidade não refletida.</x:v>
      </x:c>
      <x:c r="C12" s="4"/>
      <x:c r="D12" s="4"/>
    </x:row>
    <x:row r="13" ht="48" customHeight="1">
      <x:c r="A13" s="4" t="str">
        <x:v>10. Referências</x:v>
      </x:c>
      <x:c r="B13" s="50" t="str">
        <x:v>https://www.iapmei.pt/pt/saber-mais/empreendedorismo-e-inovacao/empreendedorismo/guias-e-manuais-de-apoio/</x:v>
      </x:c>
      <x:c r="C13" s="4"/>
      <x:c r="D13" s="4"/>
    </x:row>
    <x:row r="14" ht="48" customHeight="1">
      <x:c r="A14" s="4" t="str">
        <x:v>11. Regulação</x:v>
      </x:c>
      <x:c r="B14" s="50" t="str">
        <x:v>Cosméticos na UE: Regulamento (CE) n.º 1223/2009; confirmar pessoa responsável, segurança, PIF e CPNP antes de vender.</x:v>
      </x:c>
      <x:c r="C14" s="4"/>
      <x:c r="D14" s="4"/>
    </x:row>
    <x:row r="15" ht="21" customHeight="1">
      <x:c r="A15" s="4"/>
      <x:c r="B15" s="4"/>
      <x:c r="C15" s="4"/>
      <x:c r="D15" s="4"/>
    </x:row>
    <x:row r="16" ht="21" customHeight="1">
      <x:c r="A16" s="4"/>
      <x:c r="B16" s="4"/>
      <x:c r="C16" s="4"/>
      <x:c r="D16" s="4"/>
    </x:row>
    <x:row r="17" ht="21" customHeight="1">
      <x:c r="A17" s="4"/>
      <x:c r="B17" s="4"/>
      <x:c r="C17" s="4"/>
      <x:c r="D17" s="4"/>
    </x:row>
    <x:row r="18" ht="21" customHeight="1">
      <x:c r="A18" s="4"/>
      <x:c r="B18" s="4"/>
      <x:c r="C18" s="4"/>
      <x:c r="D18" s="4"/>
    </x:row>
    <x:row r="19" ht="21" customHeight="1">
      <x:c r="A19" s="4"/>
      <x:c r="B19" s="4"/>
      <x:c r="C19" s="4"/>
      <x:c r="D19" s="4"/>
    </x:row>
  </x:sheetData>
  <x:pageMargins left="0.7" right="0.7" top="0.75" bottom="0.75" header="0.3" footer="0.3"/>
</x:worksheet>
</file>